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06" yWindow="4620" windowWidth="19170" windowHeight="6420" tabRatio="655" activeTab="0"/>
  </bookViews>
  <sheets>
    <sheet name="Guide" sheetId="1" r:id="rId1"/>
    <sheet name="Standards" sheetId="2" r:id="rId2"/>
    <sheet name="Dairy example" sheetId="3" r:id="rId3"/>
    <sheet name="Dairy summary" sheetId="4" r:id="rId4"/>
    <sheet name="Finishing pig example" sheetId="5" r:id="rId5"/>
    <sheet name="Finishing pig summary" sheetId="6" r:id="rId6"/>
    <sheet name="Grand total" sheetId="7" r:id="rId7"/>
  </sheets>
  <definedNames>
    <definedName name="excreta_on_yards" localSheetId="4">'Finishing pig example'!$C$7</definedName>
    <definedName name="excreta_on_yards">'Dairy example'!$C$7</definedName>
    <definedName name="Housed_period__days" localSheetId="4">'Finishing pig example'!$C$6</definedName>
    <definedName name="Housed_period__days">'Dairy example'!$C$6</definedName>
    <definedName name="m_graz" localSheetId="4">'Finishing pig example'!$C$10</definedName>
    <definedName name="m_graz">'Dairy example'!$C$10</definedName>
    <definedName name="m_hous" localSheetId="4">'Finishing pig example'!$C$12</definedName>
    <definedName name="m_hous">'Dairy example'!$C$12</definedName>
    <definedName name="m_yard" localSheetId="4">'Finishing pig example'!$C$11</definedName>
    <definedName name="m_yard">'Dairy example'!$C$11</definedName>
    <definedName name="N_Excretion" localSheetId="4">'Finishing pig example'!$C$4</definedName>
    <definedName name="N_Excretion">'Dairy example'!$C$4</definedName>
    <definedName name="Number_of_livestock" localSheetId="4">'Finishing pig example'!$C$3</definedName>
    <definedName name="Number_of_livestock">'Dairy example'!$C$3</definedName>
    <definedName name="TAN_excr" localSheetId="4">'Finishing pig example'!$C$5</definedName>
    <definedName name="TAN_excr">'Dairy example'!$C$5</definedName>
  </definedNames>
  <calcPr fullCalcOnLoad="1"/>
</workbook>
</file>

<file path=xl/comments3.xml><?xml version="1.0" encoding="utf-8"?>
<comments xmlns="http://schemas.openxmlformats.org/spreadsheetml/2006/main">
  <authors>
    <author>NJH</author>
  </authors>
  <commentList>
    <comment ref="C14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There is an error if this is not zero</t>
        </r>
      </text>
    </comment>
    <comment ref="C22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There is an error if this is not zero</t>
        </r>
      </text>
    </comment>
    <comment ref="E22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There is an error if this is not zero</t>
        </r>
      </text>
    </comment>
    <comment ref="C34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There is an error if this is not zero</t>
        </r>
      </text>
    </comment>
    <comment ref="F34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There is an error if this is not zero</t>
        </r>
      </text>
    </comment>
    <comment ref="C54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There is an error if this is not zero</t>
        </r>
      </text>
    </comment>
    <comment ref="C101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There is an error if this is not zero</t>
        </r>
      </text>
    </comment>
    <comment ref="F101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There is an error if this is not zero</t>
        </r>
      </text>
    </comment>
    <comment ref="C102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There is an error if this is not zero</t>
        </r>
      </text>
    </comment>
    <comment ref="F102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There is an error if this is not zero</t>
        </r>
      </text>
    </comment>
    <comment ref="C123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There is an error if this is not zero</t>
        </r>
      </text>
    </comment>
    <comment ref="F123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There is an error if this is not zero</t>
        </r>
      </text>
    </comment>
    <comment ref="C127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There is an error if this is not zero</t>
        </r>
      </text>
    </comment>
  </commentList>
</comments>
</file>

<file path=xl/comments4.xml><?xml version="1.0" encoding="utf-8"?>
<comments xmlns="http://schemas.openxmlformats.org/spreadsheetml/2006/main">
  <authors>
    <author>NJH</author>
  </authors>
  <commentList>
    <comment ref="B14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Equation 42</t>
        </r>
      </text>
    </comment>
    <comment ref="D14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Equation 43</t>
        </r>
      </text>
    </comment>
  </commentList>
</comments>
</file>

<file path=xl/comments5.xml><?xml version="1.0" encoding="utf-8"?>
<comments xmlns="http://schemas.openxmlformats.org/spreadsheetml/2006/main">
  <authors>
    <author>NJH</author>
  </authors>
  <commentList>
    <comment ref="C14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There is an error if this is not zero</t>
        </r>
      </text>
    </comment>
    <comment ref="C22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There is an error if this is not zero</t>
        </r>
      </text>
    </comment>
    <comment ref="E22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There is an error if this is not zero</t>
        </r>
      </text>
    </comment>
    <comment ref="C34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There is an error if this is not zero</t>
        </r>
      </text>
    </comment>
    <comment ref="F34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There is an error if this is not zero</t>
        </r>
      </text>
    </comment>
    <comment ref="C54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There is an error if this is not zero</t>
        </r>
      </text>
    </comment>
    <comment ref="C101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There is an error if this is not zero</t>
        </r>
      </text>
    </comment>
    <comment ref="F101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There is an error if this is not zero</t>
        </r>
      </text>
    </comment>
    <comment ref="C102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There is an error if this is not zero</t>
        </r>
      </text>
    </comment>
    <comment ref="F102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There is an error if this is not zero</t>
        </r>
      </text>
    </comment>
    <comment ref="C123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There is an error if this is not zero</t>
        </r>
      </text>
    </comment>
    <comment ref="F123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There is an error if this is not zero</t>
        </r>
      </text>
    </comment>
    <comment ref="C127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There is an error if this is not zero</t>
        </r>
      </text>
    </comment>
  </commentList>
</comments>
</file>

<file path=xl/comments6.xml><?xml version="1.0" encoding="utf-8"?>
<comments xmlns="http://schemas.openxmlformats.org/spreadsheetml/2006/main">
  <authors>
    <author>NJH</author>
  </authors>
  <commentList>
    <comment ref="B14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Equation 42</t>
        </r>
      </text>
    </comment>
    <comment ref="D14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Equation 43</t>
        </r>
      </text>
    </comment>
  </commentList>
</comments>
</file>

<file path=xl/sharedStrings.xml><?xml version="1.0" encoding="utf-8"?>
<sst xmlns="http://schemas.openxmlformats.org/spreadsheetml/2006/main" count="409" uniqueCount="187">
  <si>
    <t>Check</t>
  </si>
  <si>
    <t>E_yard</t>
  </si>
  <si>
    <t>E_build_slurry</t>
  </si>
  <si>
    <t>E_build_FYM</t>
  </si>
  <si>
    <t>Input data</t>
  </si>
  <si>
    <t>Number of livestock</t>
  </si>
  <si>
    <t>N Excretion kg</t>
  </si>
  <si>
    <t>% TAN excr</t>
  </si>
  <si>
    <t>Housed period, days</t>
  </si>
  <si>
    <t>% excreta on yards</t>
  </si>
  <si>
    <t>Calculations</t>
  </si>
  <si>
    <t>Step 5.  Estimate amounts of TAN deposited in buildings as slurry or FYM</t>
  </si>
  <si>
    <t>Equation 9</t>
  </si>
  <si>
    <t>Equation 10</t>
  </si>
  <si>
    <t>Step 6.  Calculate emissions from buildings and yards</t>
  </si>
  <si>
    <t>Total emissions</t>
  </si>
  <si>
    <t>Source</t>
  </si>
  <si>
    <t>Buildings, manure as slurry</t>
  </si>
  <si>
    <t>Buildings, manure as FYM</t>
  </si>
  <si>
    <t>Yards</t>
  </si>
  <si>
    <t>Equation 15</t>
  </si>
  <si>
    <r>
      <t>f</t>
    </r>
    <r>
      <rPr>
        <vertAlign val="subscript"/>
        <sz val="11"/>
        <rFont val="Arial"/>
        <family val="2"/>
      </rPr>
      <t xml:space="preserve">imm </t>
    </r>
    <r>
      <rPr>
        <sz val="11"/>
        <rFont val="Arial"/>
        <family val="2"/>
      </rPr>
      <t>kg/kg</t>
    </r>
  </si>
  <si>
    <t>Equation 16</t>
  </si>
  <si>
    <t>Equation 17</t>
  </si>
  <si>
    <t>Equation 18</t>
  </si>
  <si>
    <t>Equation 19</t>
  </si>
  <si>
    <r>
      <t>m</t>
    </r>
    <r>
      <rPr>
        <vertAlign val="subscript"/>
        <sz val="11"/>
        <rFont val="Arial"/>
        <family val="2"/>
      </rPr>
      <t>storage_slurry,N</t>
    </r>
  </si>
  <si>
    <t>Proportion of livestock housed on FYM-based system (%)</t>
  </si>
  <si>
    <t>Equation 23</t>
  </si>
  <si>
    <t>Slurry storage</t>
  </si>
  <si>
    <t>FYM storage</t>
  </si>
  <si>
    <t>Slurry application</t>
  </si>
  <si>
    <t>Grazing</t>
  </si>
  <si>
    <t>Total</t>
  </si>
  <si>
    <t>Step 4.  Allocation of organic-N and TAN excretion between buildings, outdoor yards and grazing</t>
  </si>
  <si>
    <t>Proportion of livestock housed on slurry-based system (%)</t>
  </si>
  <si>
    <t>slurry</t>
  </si>
  <si>
    <t>Equation 26</t>
  </si>
  <si>
    <t>TAN returned</t>
  </si>
  <si>
    <t>N returned</t>
  </si>
  <si>
    <t>Livestock class</t>
  </si>
  <si>
    <t>% excreta on yards (C30)</t>
  </si>
  <si>
    <t>Straw , kg/yr (C54)</t>
  </si>
  <si>
    <t>Dairy cows (100901)</t>
  </si>
  <si>
    <t>Other cattle (100902)</t>
  </si>
  <si>
    <t>Sows (100904)</t>
  </si>
  <si>
    <t>Fattng pigs (100903)</t>
  </si>
  <si>
    <t>Housing period, d</t>
  </si>
  <si>
    <t>Sheep &amp; goats (100905)</t>
  </si>
  <si>
    <t>Horses etc (100906)</t>
  </si>
  <si>
    <t>Broilers (100908)</t>
  </si>
  <si>
    <t>Layers (100907)</t>
  </si>
  <si>
    <t>Turkeys (100909)</t>
  </si>
  <si>
    <t>Ducks (100909)</t>
  </si>
  <si>
    <t>Geese (100909)</t>
  </si>
  <si>
    <t>Fur animals (1009100</t>
  </si>
  <si>
    <t xml:space="preserve"> Camels (100913)</t>
  </si>
  <si>
    <t>Buffalos (100914)</t>
  </si>
  <si>
    <t>Equation 7</t>
  </si>
  <si>
    <t>Equation 8</t>
  </si>
  <si>
    <t>Equation 20</t>
  </si>
  <si>
    <t>Equation 21</t>
  </si>
  <si>
    <t>Equation 22</t>
  </si>
  <si>
    <r>
      <t>NH</t>
    </r>
    <r>
      <rPr>
        <b/>
        <i/>
        <vertAlign val="subscript"/>
        <sz val="11"/>
        <color indexed="17"/>
        <rFont val="Arial"/>
        <family val="2"/>
      </rPr>
      <t>3</t>
    </r>
  </si>
  <si>
    <t>NO</t>
  </si>
  <si>
    <r>
      <t>N</t>
    </r>
    <r>
      <rPr>
        <b/>
        <i/>
        <vertAlign val="subscript"/>
        <sz val="11"/>
        <color indexed="17"/>
        <rFont val="Arial"/>
        <family val="2"/>
      </rPr>
      <t>2</t>
    </r>
    <r>
      <rPr>
        <b/>
        <i/>
        <sz val="11"/>
        <color indexed="17"/>
        <rFont val="Arial"/>
        <family val="2"/>
      </rPr>
      <t>O</t>
    </r>
  </si>
  <si>
    <r>
      <t>N</t>
    </r>
    <r>
      <rPr>
        <b/>
        <i/>
        <vertAlign val="subscript"/>
        <sz val="11"/>
        <color indexed="17"/>
        <rFont val="Arial"/>
        <family val="2"/>
      </rPr>
      <t>2</t>
    </r>
  </si>
  <si>
    <t>Equation 11</t>
  </si>
  <si>
    <t>Equation 12</t>
  </si>
  <si>
    <t>Equation 24</t>
  </si>
  <si>
    <t>Equation 25</t>
  </si>
  <si>
    <t>Equation 29</t>
  </si>
  <si>
    <t>Step 7.  Calculate total-N and TAN leaving buildings (FYM only)</t>
  </si>
  <si>
    <t>Step 8.  Calculate Total-N and TAN entering storage (all manures)</t>
  </si>
  <si>
    <t>Step 9.  Calculate TAN from which slurry storage emissions will occur</t>
  </si>
  <si>
    <t>m_grazN</t>
  </si>
  <si>
    <t>m_yardN</t>
  </si>
  <si>
    <t>m_buildN</t>
  </si>
  <si>
    <t>m_graz,TAN</t>
  </si>
  <si>
    <t>m_yard,TAN</t>
  </si>
  <si>
    <t>m_build,TAN</t>
  </si>
  <si>
    <r>
      <t>m</t>
    </r>
    <r>
      <rPr>
        <vertAlign val="subscript"/>
        <sz val="11"/>
        <rFont val="Arial"/>
        <family val="2"/>
      </rPr>
      <t>storage_slurryTAN</t>
    </r>
  </si>
  <si>
    <t>Equation 28</t>
  </si>
  <si>
    <t>Equation 27</t>
  </si>
  <si>
    <t>Equation 30</t>
  </si>
  <si>
    <t>Equation 31</t>
  </si>
  <si>
    <t>Equation 35</t>
  </si>
  <si>
    <t>Equation 36</t>
  </si>
  <si>
    <t>Step 10.  Calculate storage emissions</t>
  </si>
  <si>
    <t>Step 11.  Calculate organic-N and TAN applied to field</t>
  </si>
  <si>
    <t>Step 12. Calculate emission following application to field</t>
  </si>
  <si>
    <t>Step 14.  To calculate emissions from grazing</t>
  </si>
  <si>
    <t>Step 13.  To calculate total-N and TAN returned to soil</t>
  </si>
  <si>
    <t xml:space="preserve"> </t>
  </si>
  <si>
    <t>%TAN</t>
  </si>
  <si>
    <t>Step 3.  Calculation of Total N  excretion deposited in buildings, on outdoor yards and on grazed land</t>
  </si>
  <si>
    <t>Nex (kg/yr)</t>
  </si>
  <si>
    <t>Prop TAN</t>
  </si>
  <si>
    <t>N added in bedding, kg/animal/yr</t>
  </si>
  <si>
    <r>
      <t>m</t>
    </r>
    <r>
      <rPr>
        <vertAlign val="subscript"/>
        <sz val="11"/>
        <rFont val="Arial Narrow"/>
        <family val="2"/>
      </rPr>
      <t xml:space="preserve">bedding </t>
    </r>
    <r>
      <rPr>
        <sz val="11"/>
        <rFont val="Arial Narrow"/>
        <family val="2"/>
      </rPr>
      <t>kg N</t>
    </r>
  </si>
  <si>
    <r>
      <t>x</t>
    </r>
    <r>
      <rPr>
        <vertAlign val="subscript"/>
        <sz val="11"/>
        <rFont val="Arial"/>
        <family val="2"/>
      </rPr>
      <t>store_slurry</t>
    </r>
    <r>
      <rPr>
        <sz val="11"/>
        <rFont val="Arial"/>
        <family val="2"/>
      </rPr>
      <t xml:space="preserve"> </t>
    </r>
  </si>
  <si>
    <r>
      <t>x</t>
    </r>
    <r>
      <rPr>
        <vertAlign val="subscript"/>
        <sz val="11"/>
        <rFont val="Arial"/>
        <family val="2"/>
      </rPr>
      <t>store_FYM</t>
    </r>
  </si>
  <si>
    <t>The amounts of manures applied directly to fields will be</t>
  </si>
  <si>
    <r>
      <t>f</t>
    </r>
    <r>
      <rPr>
        <vertAlign val="subscript"/>
        <sz val="11"/>
        <rFont val="Arial"/>
        <family val="2"/>
      </rPr>
      <t>min</t>
    </r>
  </si>
  <si>
    <t>EF NH3 storage, slurry</t>
  </si>
  <si>
    <t>EF NH3 house, slurry</t>
  </si>
  <si>
    <t>EF NH3 house, solid</t>
  </si>
  <si>
    <t>EF NH3 yard</t>
  </si>
  <si>
    <t>EF NH3 storage, solid</t>
  </si>
  <si>
    <t>EF N2O storage, slurry</t>
  </si>
  <si>
    <t>EF N2O storage, solid</t>
  </si>
  <si>
    <t>EF NO storage, slurry</t>
  </si>
  <si>
    <t>EF NO storage, solid</t>
  </si>
  <si>
    <t>EF N2 storage, slurry</t>
  </si>
  <si>
    <t>EF N2 storage, solid</t>
  </si>
  <si>
    <t>EF storage leaching, solid</t>
  </si>
  <si>
    <r>
      <t>E</t>
    </r>
    <r>
      <rPr>
        <i/>
        <vertAlign val="subscript"/>
        <sz val="11"/>
        <rFont val="Arial"/>
        <family val="2"/>
      </rPr>
      <t>storage_slurry_N2O</t>
    </r>
  </si>
  <si>
    <r>
      <t>E</t>
    </r>
    <r>
      <rPr>
        <i/>
        <vertAlign val="subscript"/>
        <sz val="11"/>
        <rFont val="Arial"/>
        <family val="2"/>
      </rPr>
      <t>storage_slurry_NH3</t>
    </r>
  </si>
  <si>
    <r>
      <t>E</t>
    </r>
    <r>
      <rPr>
        <i/>
        <vertAlign val="subscript"/>
        <sz val="11"/>
        <rFont val="Arial"/>
        <family val="2"/>
      </rPr>
      <t>storage_slurry_NO</t>
    </r>
  </si>
  <si>
    <r>
      <t>E</t>
    </r>
    <r>
      <rPr>
        <i/>
        <vertAlign val="subscript"/>
        <sz val="11"/>
        <rFont val="Arial"/>
        <family val="2"/>
      </rPr>
      <t>storage_slurry_N2</t>
    </r>
  </si>
  <si>
    <t>Equation 37</t>
  </si>
  <si>
    <t>Equation 38</t>
  </si>
  <si>
    <r>
      <t>E</t>
    </r>
    <r>
      <rPr>
        <i/>
        <vertAlign val="subscript"/>
        <sz val="11"/>
        <rFont val="Arial"/>
        <family val="2"/>
      </rPr>
      <t>storage_solid_NH3</t>
    </r>
  </si>
  <si>
    <r>
      <t>E</t>
    </r>
    <r>
      <rPr>
        <i/>
        <vertAlign val="subscript"/>
        <sz val="11"/>
        <rFont val="Arial"/>
        <family val="2"/>
      </rPr>
      <t>storage_solid_N2O</t>
    </r>
  </si>
  <si>
    <r>
      <t>E</t>
    </r>
    <r>
      <rPr>
        <i/>
        <vertAlign val="subscript"/>
        <sz val="11"/>
        <rFont val="Arial"/>
        <family val="2"/>
      </rPr>
      <t>storage_solid_NO</t>
    </r>
  </si>
  <si>
    <r>
      <t>E</t>
    </r>
    <r>
      <rPr>
        <i/>
        <vertAlign val="subscript"/>
        <sz val="11"/>
        <rFont val="Arial"/>
        <family val="2"/>
      </rPr>
      <t>storage_solid_N2</t>
    </r>
  </si>
  <si>
    <r>
      <t>E</t>
    </r>
    <r>
      <rPr>
        <i/>
        <vertAlign val="subscript"/>
        <sz val="11"/>
        <rFont val="Arial"/>
        <family val="2"/>
      </rPr>
      <t>storage_solid_leach</t>
    </r>
  </si>
  <si>
    <t>Equation 5</t>
  </si>
  <si>
    <t>Equation 6</t>
  </si>
  <si>
    <t>Mass of bedding, kg</t>
  </si>
  <si>
    <r>
      <t>m</t>
    </r>
    <r>
      <rPr>
        <i/>
        <vertAlign val="subscript"/>
        <sz val="11"/>
        <rFont val="Arial"/>
        <family val="2"/>
      </rPr>
      <t>build_slurry_TAN</t>
    </r>
    <r>
      <rPr>
        <i/>
        <sz val="11"/>
        <rFont val="Arial"/>
        <family val="2"/>
      </rPr>
      <t xml:space="preserve"> </t>
    </r>
  </si>
  <si>
    <r>
      <t>m</t>
    </r>
    <r>
      <rPr>
        <i/>
        <vertAlign val="subscript"/>
        <sz val="11"/>
        <rFont val="Arial"/>
        <family val="2"/>
      </rPr>
      <t>build_slurry_N</t>
    </r>
    <r>
      <rPr>
        <i/>
        <sz val="11"/>
        <rFont val="Arial"/>
        <family val="2"/>
      </rPr>
      <t xml:space="preserve"> </t>
    </r>
  </si>
  <si>
    <r>
      <t>m</t>
    </r>
    <r>
      <rPr>
        <i/>
        <vertAlign val="subscript"/>
        <sz val="11"/>
        <rFont val="Arial"/>
        <family val="2"/>
      </rPr>
      <t>build_solid_TAN</t>
    </r>
    <r>
      <rPr>
        <i/>
        <sz val="11"/>
        <rFont val="Arial"/>
        <family val="2"/>
      </rPr>
      <t xml:space="preserve"> </t>
    </r>
  </si>
  <si>
    <r>
      <t>m</t>
    </r>
    <r>
      <rPr>
        <i/>
        <vertAlign val="subscript"/>
        <sz val="11"/>
        <rFont val="Arial"/>
        <family val="2"/>
      </rPr>
      <t>build_solid_N</t>
    </r>
  </si>
  <si>
    <t>Equation 13</t>
  </si>
  <si>
    <t>Equation 14</t>
  </si>
  <si>
    <r>
      <t>E</t>
    </r>
    <r>
      <rPr>
        <i/>
        <vertAlign val="subscript"/>
        <sz val="11"/>
        <rFont val="Arial"/>
        <family val="2"/>
      </rPr>
      <t>build_slurry</t>
    </r>
    <r>
      <rPr>
        <i/>
        <sz val="11"/>
        <rFont val="Arial"/>
        <family val="2"/>
      </rPr>
      <t xml:space="preserve"> </t>
    </r>
  </si>
  <si>
    <r>
      <t>E</t>
    </r>
    <r>
      <rPr>
        <i/>
        <vertAlign val="subscript"/>
        <sz val="11"/>
        <rFont val="Arial"/>
        <family val="2"/>
      </rPr>
      <t>build_solid</t>
    </r>
  </si>
  <si>
    <r>
      <t>E</t>
    </r>
    <r>
      <rPr>
        <i/>
        <vertAlign val="subscript"/>
        <sz val="11"/>
        <rFont val="Arial"/>
        <family val="2"/>
      </rPr>
      <t>yard</t>
    </r>
  </si>
  <si>
    <r>
      <t>m</t>
    </r>
    <r>
      <rPr>
        <vertAlign val="subscript"/>
        <sz val="11"/>
        <rFont val="Arial"/>
        <family val="2"/>
      </rPr>
      <t>storage_solid_TAN</t>
    </r>
  </si>
  <si>
    <r>
      <t>m</t>
    </r>
    <r>
      <rPr>
        <vertAlign val="subscript"/>
        <sz val="11"/>
        <rFont val="Arial"/>
        <family val="2"/>
      </rPr>
      <t>storage_solid_N</t>
    </r>
  </si>
  <si>
    <r>
      <t>m</t>
    </r>
    <r>
      <rPr>
        <vertAlign val="subscript"/>
        <sz val="11"/>
        <rFont val="Arial"/>
        <family val="2"/>
      </rPr>
      <t>spread_direct_slurry_TAN</t>
    </r>
  </si>
  <si>
    <r>
      <t>m</t>
    </r>
    <r>
      <rPr>
        <vertAlign val="subscript"/>
        <sz val="11"/>
        <rFont val="Arial"/>
        <family val="2"/>
      </rPr>
      <t>spread_direct_slurry_N</t>
    </r>
  </si>
  <si>
    <r>
      <t>m</t>
    </r>
    <r>
      <rPr>
        <vertAlign val="subscript"/>
        <sz val="11"/>
        <rFont val="Arial"/>
        <family val="2"/>
      </rPr>
      <t>spread_direct_solid_TAN</t>
    </r>
  </si>
  <si>
    <r>
      <t>m</t>
    </r>
    <r>
      <rPr>
        <vertAlign val="subscript"/>
        <sz val="11"/>
        <rFont val="Arial"/>
        <family val="2"/>
      </rPr>
      <t>spread_direct_solidN</t>
    </r>
  </si>
  <si>
    <r>
      <t>mm</t>
    </r>
    <r>
      <rPr>
        <vertAlign val="subscript"/>
        <sz val="11"/>
        <rFont val="Arial"/>
        <family val="2"/>
      </rPr>
      <t>storage_slurry_TAN</t>
    </r>
  </si>
  <si>
    <t>Equation 33</t>
  </si>
  <si>
    <r>
      <t>m</t>
    </r>
    <r>
      <rPr>
        <vertAlign val="subscript"/>
        <sz val="11"/>
        <rFont val="Arial"/>
        <family val="2"/>
      </rPr>
      <t>applic_slurry_TAN</t>
    </r>
  </si>
  <si>
    <r>
      <t>m</t>
    </r>
    <r>
      <rPr>
        <vertAlign val="subscript"/>
        <sz val="11"/>
        <rFont val="Arial"/>
        <family val="2"/>
      </rPr>
      <t>applic_slurry_N</t>
    </r>
  </si>
  <si>
    <t>Equation 32</t>
  </si>
  <si>
    <r>
      <t>m</t>
    </r>
    <r>
      <rPr>
        <vertAlign val="subscript"/>
        <sz val="11"/>
        <rFont val="Arial"/>
        <family val="2"/>
      </rPr>
      <t>applic_solid_TAN</t>
    </r>
  </si>
  <si>
    <t>Equation 34</t>
  </si>
  <si>
    <r>
      <t>E</t>
    </r>
    <r>
      <rPr>
        <vertAlign val="subscript"/>
        <sz val="12"/>
        <rFont val="Arial"/>
        <family val="2"/>
      </rPr>
      <t>applic_slurry</t>
    </r>
  </si>
  <si>
    <r>
      <t>E</t>
    </r>
    <r>
      <rPr>
        <vertAlign val="subscript"/>
        <sz val="12"/>
        <rFont val="Arial"/>
        <family val="2"/>
      </rPr>
      <t>applic_solid</t>
    </r>
  </si>
  <si>
    <r>
      <t>m</t>
    </r>
    <r>
      <rPr>
        <vertAlign val="subscript"/>
        <sz val="11"/>
        <rFont val="Arial"/>
        <family val="2"/>
      </rPr>
      <t>returned_slurry_TAN</t>
    </r>
  </si>
  <si>
    <r>
      <t>m</t>
    </r>
    <r>
      <rPr>
        <vertAlign val="subscript"/>
        <sz val="11"/>
        <rFont val="Arial"/>
        <family val="2"/>
      </rPr>
      <t>returned_slurry_N</t>
    </r>
  </si>
  <si>
    <r>
      <t>m</t>
    </r>
    <r>
      <rPr>
        <vertAlign val="subscript"/>
        <sz val="11"/>
        <rFont val="Arial"/>
        <family val="2"/>
      </rPr>
      <t>returned_solid'_TAN</t>
    </r>
  </si>
  <si>
    <r>
      <t>m</t>
    </r>
    <r>
      <rPr>
        <vertAlign val="subscript"/>
        <sz val="11"/>
        <rFont val="Arial"/>
        <family val="2"/>
      </rPr>
      <t>returned_solid_N</t>
    </r>
  </si>
  <si>
    <t>Equation 39</t>
  </si>
  <si>
    <t>Equation 40</t>
  </si>
  <si>
    <t>Equation 41</t>
  </si>
  <si>
    <t>EF NH3 grazing</t>
  </si>
  <si>
    <r>
      <t>E</t>
    </r>
    <r>
      <rPr>
        <i/>
        <vertAlign val="subscript"/>
        <sz val="11"/>
        <rFont val="Arial"/>
        <family val="2"/>
      </rPr>
      <t>graz</t>
    </r>
  </si>
  <si>
    <t>Entering soil in grazed pasture</t>
  </si>
  <si>
    <t>System check</t>
  </si>
  <si>
    <t>N input</t>
  </si>
  <si>
    <t>N output</t>
  </si>
  <si>
    <t>solid</t>
  </si>
  <si>
    <r>
      <t>Leached NO</t>
    </r>
    <r>
      <rPr>
        <b/>
        <i/>
        <vertAlign val="subscript"/>
        <sz val="11"/>
        <color indexed="17"/>
        <rFont val="Arial"/>
        <family val="2"/>
      </rPr>
      <t>3</t>
    </r>
  </si>
  <si>
    <t>As kg of the relevant compound</t>
  </si>
  <si>
    <t>Solid application</t>
  </si>
  <si>
    <t>EF NH3 application, slurry</t>
  </si>
  <si>
    <t>EF NH3 application, solid</t>
  </si>
  <si>
    <r>
      <t>x</t>
    </r>
    <r>
      <rPr>
        <vertAlign val="subscript"/>
        <sz val="11"/>
        <rFont val="Arial"/>
        <family val="2"/>
      </rPr>
      <t>store_solid</t>
    </r>
  </si>
  <si>
    <r>
      <t>m</t>
    </r>
    <r>
      <rPr>
        <vertAlign val="subscript"/>
        <sz val="11"/>
        <rFont val="Arial"/>
        <family val="2"/>
      </rPr>
      <t>ex-build_solid_N</t>
    </r>
  </si>
  <si>
    <r>
      <t>m</t>
    </r>
    <r>
      <rPr>
        <vertAlign val="subscript"/>
        <sz val="11"/>
        <rFont val="Arial"/>
        <family val="2"/>
      </rPr>
      <t>ex-build_solid_TAN</t>
    </r>
  </si>
  <si>
    <t>Cells that need to be edited when changing livestock category</t>
  </si>
  <si>
    <t>Cells that should not be altered</t>
  </si>
  <si>
    <t>Cells into which activity data should be input</t>
  </si>
  <si>
    <t>Cells that are calculated by the spreadsheet</t>
  </si>
  <si>
    <t>Standards worksheet contains constants (e.g. Emission factors)</t>
  </si>
  <si>
    <t>xx example worksheets contain examples for livestock categories</t>
  </si>
  <si>
    <t>xxsummary worksheets contain the summary data from the relevant livestock category</t>
  </si>
  <si>
    <t>Grand total worksheet contains the total emissions (sum from all livestock categories)</t>
  </si>
  <si>
    <t>Not currently included</t>
  </si>
  <si>
    <r>
      <t>m</t>
    </r>
    <r>
      <rPr>
        <vertAlign val="subscript"/>
        <sz val="11"/>
        <rFont val="Arial"/>
        <family val="2"/>
      </rPr>
      <t>applic_solid_N</t>
    </r>
  </si>
  <si>
    <t>Equation numbers, as in 3B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</si>
</sst>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0.00000"/>
    <numFmt numFmtId="174" formatCode="0.0000"/>
    <numFmt numFmtId="175" formatCode="0.000"/>
    <numFmt numFmtId="176" formatCode="0.0000000"/>
    <numFmt numFmtId="177" formatCode="0.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0000000"/>
    <numFmt numFmtId="182" formatCode="0.000000000000"/>
    <numFmt numFmtId="183" formatCode="0.00000000000"/>
    <numFmt numFmtId="184" formatCode="0.0000000000"/>
    <numFmt numFmtId="185" formatCode="0.000000000"/>
    <numFmt numFmtId="186" formatCode="0.00000000"/>
  </numFmts>
  <fonts count="6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color indexed="17"/>
      <name val="Arial"/>
      <family val="2"/>
    </font>
    <font>
      <b/>
      <i/>
      <sz val="11"/>
      <color indexed="17"/>
      <name val="Arial"/>
      <family val="2"/>
    </font>
    <font>
      <i/>
      <sz val="11"/>
      <name val="Arial Narrow"/>
      <family val="2"/>
    </font>
    <font>
      <vertAlign val="subscript"/>
      <sz val="11"/>
      <name val="Arial Narrow"/>
      <family val="2"/>
    </font>
    <font>
      <vertAlign val="subscript"/>
      <sz val="11"/>
      <name val="Arial"/>
      <family val="2"/>
    </font>
    <font>
      <sz val="11"/>
      <name val="Arial Narrow"/>
      <family val="2"/>
    </font>
    <font>
      <vertAlign val="subscript"/>
      <sz val="12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i/>
      <sz val="11"/>
      <color indexed="12"/>
      <name val="Arial"/>
      <family val="2"/>
    </font>
    <font>
      <b/>
      <i/>
      <vertAlign val="subscript"/>
      <sz val="11"/>
      <color indexed="17"/>
      <name val="Arial"/>
      <family val="2"/>
    </font>
    <font>
      <sz val="11"/>
      <color indexed="17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i/>
      <vertAlign val="subscript"/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7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1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13" fillId="0" borderId="0" xfId="0" applyFont="1" applyAlignment="1">
      <alignment/>
    </xf>
    <xf numFmtId="1" fontId="12" fillId="0" borderId="0" xfId="0" applyNumberFormat="1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12" fillId="0" borderId="0" xfId="0" applyFont="1" applyAlignment="1">
      <alignment/>
    </xf>
    <xf numFmtId="0" fontId="13" fillId="0" borderId="0" xfId="0" applyFont="1" applyFill="1" applyAlignment="1">
      <alignment wrapText="1"/>
    </xf>
    <xf numFmtId="0" fontId="16" fillId="0" borderId="0" xfId="0" applyFont="1" applyFill="1" applyAlignment="1">
      <alignment/>
    </xf>
    <xf numFmtId="1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175" fontId="13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0" fontId="1" fillId="0" borderId="0" xfId="0" applyFont="1" applyFill="1" applyAlignment="1">
      <alignment wrapText="1"/>
    </xf>
    <xf numFmtId="175" fontId="12" fillId="0" borderId="0" xfId="0" applyNumberFormat="1" applyFont="1" applyFill="1" applyAlignment="1">
      <alignment/>
    </xf>
    <xf numFmtId="175" fontId="16" fillId="0" borderId="0" xfId="0" applyNumberFormat="1" applyFont="1" applyFill="1" applyAlignment="1">
      <alignment/>
    </xf>
    <xf numFmtId="175" fontId="12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/>
    </xf>
    <xf numFmtId="0" fontId="1" fillId="34" borderId="0" xfId="0" applyFont="1" applyFill="1" applyAlignment="1">
      <alignment wrapText="1"/>
    </xf>
    <xf numFmtId="0" fontId="1" fillId="34" borderId="0" xfId="0" applyFont="1" applyFill="1" applyAlignment="1">
      <alignment/>
    </xf>
    <xf numFmtId="0" fontId="12" fillId="0" borderId="0" xfId="0" applyFont="1" applyAlignment="1">
      <alignment wrapText="1"/>
    </xf>
    <xf numFmtId="0" fontId="18" fillId="0" borderId="0" xfId="0" applyFont="1" applyAlignment="1">
      <alignment/>
    </xf>
    <xf numFmtId="172" fontId="18" fillId="0" borderId="0" xfId="0" applyNumberFormat="1" applyFont="1" applyAlignment="1">
      <alignment/>
    </xf>
    <xf numFmtId="0" fontId="18" fillId="35" borderId="0" xfId="0" applyFont="1" applyFill="1" applyAlignment="1">
      <alignment/>
    </xf>
    <xf numFmtId="1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1" fontId="18" fillId="0" borderId="0" xfId="0" applyNumberFormat="1" applyFont="1" applyAlignment="1">
      <alignment/>
    </xf>
    <xf numFmtId="0" fontId="12" fillId="0" borderId="0" xfId="0" applyFont="1" applyFill="1" applyAlignment="1">
      <alignment wrapText="1"/>
    </xf>
    <xf numFmtId="1" fontId="1" fillId="0" borderId="0" xfId="0" applyNumberFormat="1" applyFont="1" applyFill="1" applyAlignment="1">
      <alignment/>
    </xf>
    <xf numFmtId="0" fontId="1" fillId="36" borderId="0" xfId="0" applyFont="1" applyFill="1" applyAlignment="1">
      <alignment/>
    </xf>
    <xf numFmtId="2" fontId="1" fillId="33" borderId="0" xfId="0" applyNumberFormat="1" applyFont="1" applyFill="1" applyAlignment="1">
      <alignment/>
    </xf>
    <xf numFmtId="0" fontId="5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0" fontId="5" fillId="0" borderId="0" xfId="0" applyFont="1" applyFill="1" applyAlignment="1">
      <alignment wrapText="1"/>
    </xf>
    <xf numFmtId="175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 vertical="top"/>
    </xf>
    <xf numFmtId="175" fontId="5" fillId="0" borderId="0" xfId="0" applyNumberFormat="1" applyFont="1" applyFill="1" applyAlignment="1">
      <alignment vertical="top"/>
    </xf>
    <xf numFmtId="1" fontId="5" fillId="0" borderId="0" xfId="0" applyNumberFormat="1" applyFont="1" applyFill="1" applyAlignment="1">
      <alignment vertical="top"/>
    </xf>
    <xf numFmtId="1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/>
    </xf>
    <xf numFmtId="0" fontId="1" fillId="37" borderId="0" xfId="0" applyFont="1" applyFill="1" applyAlignment="1">
      <alignment/>
    </xf>
    <xf numFmtId="172" fontId="1" fillId="0" borderId="0" xfId="0" applyNumberFormat="1" applyFont="1" applyFill="1" applyAlignment="1">
      <alignment/>
    </xf>
    <xf numFmtId="2" fontId="1" fillId="37" borderId="0" xfId="0" applyNumberFormat="1" applyFont="1" applyFill="1" applyAlignment="1">
      <alignment/>
    </xf>
    <xf numFmtId="175" fontId="1" fillId="37" borderId="0" xfId="0" applyNumberFormat="1" applyFont="1" applyFill="1" applyAlignment="1">
      <alignment/>
    </xf>
    <xf numFmtId="1" fontId="1" fillId="37" borderId="0" xfId="0" applyNumberFormat="1" applyFont="1" applyFill="1" applyAlignment="1">
      <alignment/>
    </xf>
    <xf numFmtId="172" fontId="1" fillId="37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3" fillId="0" borderId="0" xfId="0" applyFont="1" applyFill="1" applyAlignment="1">
      <alignment vertical="top"/>
    </xf>
    <xf numFmtId="2" fontId="15" fillId="0" borderId="0" xfId="0" applyNumberFormat="1" applyFont="1" applyFill="1" applyAlignment="1">
      <alignment vertical="top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0" fillId="37" borderId="0" xfId="0" applyFill="1" applyAlignment="1">
      <alignment/>
    </xf>
    <xf numFmtId="0" fontId="0" fillId="36" borderId="0" xfId="0" applyFill="1" applyAlignment="1">
      <alignment/>
    </xf>
    <xf numFmtId="0" fontId="0" fillId="33" borderId="0" xfId="0" applyFill="1" applyAlignment="1">
      <alignment/>
    </xf>
    <xf numFmtId="0" fontId="0" fillId="38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2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2" spans="2:3" ht="12.75">
      <c r="B2" s="81"/>
      <c r="C2" t="s">
        <v>176</v>
      </c>
    </row>
    <row r="3" spans="2:3" ht="12.75">
      <c r="B3" s="82"/>
      <c r="C3" t="s">
        <v>177</v>
      </c>
    </row>
    <row r="4" spans="2:3" ht="12.75">
      <c r="B4" s="83"/>
      <c r="C4" t="s">
        <v>178</v>
      </c>
    </row>
    <row r="5" ht="12.75">
      <c r="C5" t="s">
        <v>179</v>
      </c>
    </row>
    <row r="6" spans="2:3" ht="12.75">
      <c r="B6" s="84"/>
      <c r="C6" t="s">
        <v>186</v>
      </c>
    </row>
    <row r="9" ht="12.75">
      <c r="B9" t="s">
        <v>180</v>
      </c>
    </row>
    <row r="10" ht="12.75">
      <c r="B10" t="s">
        <v>181</v>
      </c>
    </row>
    <row r="11" ht="12.75">
      <c r="B11" t="s">
        <v>182</v>
      </c>
    </row>
    <row r="12" ht="12.75">
      <c r="B12" t="s">
        <v>183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8"/>
  <sheetViews>
    <sheetView zoomScalePageLayoutView="0" workbookViewId="0" topLeftCell="D1">
      <selection activeCell="T5" sqref="T5"/>
    </sheetView>
  </sheetViews>
  <sheetFormatPr defaultColWidth="9.140625" defaultRowHeight="12.75"/>
  <cols>
    <col min="1" max="1" width="27.421875" style="0" customWidth="1"/>
    <col min="2" max="2" width="10.7109375" style="0" customWidth="1"/>
    <col min="3" max="3" width="11.140625" style="0" customWidth="1"/>
    <col min="5" max="5" width="9.57421875" style="0" customWidth="1"/>
  </cols>
  <sheetData>
    <row r="1" spans="1:30" ht="90">
      <c r="A1" s="77" t="s">
        <v>40</v>
      </c>
      <c r="B1" s="77" t="s">
        <v>96</v>
      </c>
      <c r="C1" s="77" t="s">
        <v>97</v>
      </c>
      <c r="D1" s="78" t="s">
        <v>42</v>
      </c>
      <c r="E1" s="78" t="s">
        <v>98</v>
      </c>
      <c r="F1" s="78" t="s">
        <v>47</v>
      </c>
      <c r="G1" s="78" t="s">
        <v>41</v>
      </c>
      <c r="H1" s="79"/>
      <c r="I1" s="78" t="s">
        <v>105</v>
      </c>
      <c r="J1" s="78" t="s">
        <v>106</v>
      </c>
      <c r="K1" s="78" t="s">
        <v>107</v>
      </c>
      <c r="L1" s="78" t="s">
        <v>104</v>
      </c>
      <c r="M1" s="78" t="s">
        <v>108</v>
      </c>
      <c r="N1" s="78" t="s">
        <v>109</v>
      </c>
      <c r="O1" s="78" t="s">
        <v>110</v>
      </c>
      <c r="P1" s="78" t="s">
        <v>111</v>
      </c>
      <c r="Q1" s="78" t="s">
        <v>112</v>
      </c>
      <c r="R1" s="78" t="s">
        <v>113</v>
      </c>
      <c r="S1" s="78" t="s">
        <v>114</v>
      </c>
      <c r="T1" s="78" t="s">
        <v>115</v>
      </c>
      <c r="U1" s="78" t="s">
        <v>171</v>
      </c>
      <c r="V1" s="78" t="s">
        <v>172</v>
      </c>
      <c r="W1" s="78" t="s">
        <v>161</v>
      </c>
      <c r="X1" s="79"/>
      <c r="Y1" s="80"/>
      <c r="Z1" s="80"/>
      <c r="AA1" s="80"/>
      <c r="AB1" s="80"/>
      <c r="AC1" s="80"/>
      <c r="AD1" s="80"/>
    </row>
    <row r="2" spans="1:24" ht="14.25">
      <c r="A2" s="76" t="s">
        <v>43</v>
      </c>
      <c r="B2" s="35">
        <v>105</v>
      </c>
      <c r="C2" s="35">
        <v>0.6</v>
      </c>
      <c r="D2" s="35">
        <v>1500</v>
      </c>
      <c r="E2" s="37">
        <f>D2*0.004</f>
        <v>6</v>
      </c>
      <c r="F2" s="36">
        <v>180</v>
      </c>
      <c r="G2" s="31">
        <v>25</v>
      </c>
      <c r="H2" s="75"/>
      <c r="I2" s="75">
        <v>0.2</v>
      </c>
      <c r="J2" s="75">
        <v>0.19</v>
      </c>
      <c r="K2" s="75">
        <v>0.3</v>
      </c>
      <c r="L2" s="75">
        <v>0.2</v>
      </c>
      <c r="M2" s="75">
        <v>0.27</v>
      </c>
      <c r="N2" s="75">
        <v>0.001</v>
      </c>
      <c r="O2" s="75">
        <v>0.08</v>
      </c>
      <c r="P2" s="75">
        <v>0.0001</v>
      </c>
      <c r="Q2" s="75">
        <v>0.008</v>
      </c>
      <c r="R2" s="75">
        <v>0.003</v>
      </c>
      <c r="S2" s="75">
        <v>0.3</v>
      </c>
      <c r="T2" s="75">
        <v>0</v>
      </c>
      <c r="U2" s="75">
        <v>0.55</v>
      </c>
      <c r="V2" s="75">
        <v>0.79</v>
      </c>
      <c r="W2" s="75">
        <v>0.1</v>
      </c>
      <c r="X2" s="75"/>
    </row>
    <row r="3" spans="1:24" ht="14.25">
      <c r="A3" s="36" t="s">
        <v>44</v>
      </c>
      <c r="B3" s="35">
        <v>41</v>
      </c>
      <c r="C3" s="35">
        <v>0.6</v>
      </c>
      <c r="D3" s="35">
        <v>500</v>
      </c>
      <c r="E3" s="37">
        <f aca="true" t="shared" si="0" ref="E3:E15">D3*0.004</f>
        <v>2</v>
      </c>
      <c r="F3" s="36">
        <v>180</v>
      </c>
      <c r="G3" s="31">
        <v>10</v>
      </c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</row>
    <row r="4" spans="1:24" ht="14.25">
      <c r="A4" s="36" t="s">
        <v>46</v>
      </c>
      <c r="B4" s="35">
        <v>12.1</v>
      </c>
      <c r="C4" s="35">
        <v>0.7</v>
      </c>
      <c r="D4" s="35">
        <v>200</v>
      </c>
      <c r="E4" s="37">
        <f t="shared" si="0"/>
        <v>0.8</v>
      </c>
      <c r="F4" s="36">
        <v>365</v>
      </c>
      <c r="G4" s="31">
        <v>0</v>
      </c>
      <c r="H4" s="75"/>
      <c r="I4" s="75">
        <v>0.28</v>
      </c>
      <c r="J4" s="75">
        <v>0.27</v>
      </c>
      <c r="K4" s="75">
        <v>0</v>
      </c>
      <c r="L4" s="75">
        <v>0.14</v>
      </c>
      <c r="M4" s="75">
        <v>0.45</v>
      </c>
      <c r="N4" s="75">
        <v>0</v>
      </c>
      <c r="O4" s="75">
        <v>0.05</v>
      </c>
      <c r="P4" s="75">
        <v>0.0001</v>
      </c>
      <c r="Q4" s="75">
        <v>0.008</v>
      </c>
      <c r="R4" s="75">
        <v>0.003</v>
      </c>
      <c r="S4" s="75">
        <v>0.3</v>
      </c>
      <c r="T4" s="75">
        <v>0</v>
      </c>
      <c r="U4" s="75">
        <v>0.4</v>
      </c>
      <c r="V4" s="75">
        <v>0.81</v>
      </c>
      <c r="W4" s="75">
        <v>0</v>
      </c>
      <c r="X4" s="75"/>
    </row>
    <row r="5" spans="1:24" ht="14.25">
      <c r="A5" s="36" t="s">
        <v>45</v>
      </c>
      <c r="B5" s="35">
        <v>34.5</v>
      </c>
      <c r="C5" s="35">
        <v>0.7</v>
      </c>
      <c r="D5" s="35">
        <v>600</v>
      </c>
      <c r="E5" s="37">
        <f t="shared" si="0"/>
        <v>2.4</v>
      </c>
      <c r="F5" s="36">
        <v>365</v>
      </c>
      <c r="G5" s="31">
        <v>0</v>
      </c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</row>
    <row r="6" spans="1:24" ht="14.25">
      <c r="A6" s="36" t="s">
        <v>48</v>
      </c>
      <c r="B6" s="35">
        <v>15.5</v>
      </c>
      <c r="C6" s="35">
        <v>0.5</v>
      </c>
      <c r="D6" s="35">
        <v>20</v>
      </c>
      <c r="E6" s="37">
        <f t="shared" si="0"/>
        <v>0.08</v>
      </c>
      <c r="F6" s="36">
        <v>30</v>
      </c>
      <c r="G6" s="31">
        <v>2</v>
      </c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</row>
    <row r="7" spans="1:24" ht="14.25">
      <c r="A7" s="36" t="s">
        <v>49</v>
      </c>
      <c r="B7" s="35">
        <v>47.5</v>
      </c>
      <c r="C7" s="35">
        <v>0.6</v>
      </c>
      <c r="D7" s="35">
        <v>500</v>
      </c>
      <c r="E7" s="37">
        <f t="shared" si="0"/>
        <v>2</v>
      </c>
      <c r="F7" s="36">
        <v>180</v>
      </c>
      <c r="G7" s="31">
        <v>0</v>
      </c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</row>
    <row r="8" spans="1:24" ht="14.25">
      <c r="A8" s="36" t="s">
        <v>51</v>
      </c>
      <c r="B8" s="35">
        <v>0.77</v>
      </c>
      <c r="C8" s="35">
        <v>0.7</v>
      </c>
      <c r="D8" s="35">
        <v>0</v>
      </c>
      <c r="E8" s="37">
        <f t="shared" si="0"/>
        <v>0</v>
      </c>
      <c r="F8" s="36">
        <v>365</v>
      </c>
      <c r="G8" s="31">
        <v>0</v>
      </c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</row>
    <row r="9" spans="1:24" ht="14.25">
      <c r="A9" s="36" t="s">
        <v>50</v>
      </c>
      <c r="B9" s="35">
        <v>0.36</v>
      </c>
      <c r="C9" s="35">
        <v>0.7</v>
      </c>
      <c r="D9" s="35">
        <v>0</v>
      </c>
      <c r="E9" s="37">
        <f t="shared" si="0"/>
        <v>0</v>
      </c>
      <c r="F9" s="36">
        <v>365</v>
      </c>
      <c r="G9" s="31">
        <v>0</v>
      </c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</row>
    <row r="10" spans="1:24" ht="14.25">
      <c r="A10" s="36" t="s">
        <v>52</v>
      </c>
      <c r="B10" s="35">
        <v>1.64</v>
      </c>
      <c r="C10" s="35">
        <v>0.7</v>
      </c>
      <c r="D10" s="35">
        <v>0</v>
      </c>
      <c r="E10" s="37">
        <f t="shared" si="0"/>
        <v>0</v>
      </c>
      <c r="F10" s="36">
        <v>365</v>
      </c>
      <c r="G10" s="31">
        <v>0</v>
      </c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</row>
    <row r="11" spans="1:24" ht="14.25">
      <c r="A11" s="36" t="s">
        <v>53</v>
      </c>
      <c r="B11" s="35">
        <v>1.26</v>
      </c>
      <c r="C11" s="35">
        <v>0.7</v>
      </c>
      <c r="D11" s="35">
        <v>0</v>
      </c>
      <c r="E11" s="37">
        <f t="shared" si="0"/>
        <v>0</v>
      </c>
      <c r="F11" s="36">
        <v>365</v>
      </c>
      <c r="G11" s="31">
        <v>0</v>
      </c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</row>
    <row r="12" spans="1:24" ht="14.25">
      <c r="A12" s="36" t="s">
        <v>54</v>
      </c>
      <c r="B12" s="35">
        <v>0.55</v>
      </c>
      <c r="C12" s="35">
        <v>0.7</v>
      </c>
      <c r="D12" s="35">
        <v>0</v>
      </c>
      <c r="E12" s="37">
        <f t="shared" si="0"/>
        <v>0</v>
      </c>
      <c r="F12" s="36">
        <v>365</v>
      </c>
      <c r="G12" s="31">
        <v>0</v>
      </c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</row>
    <row r="13" spans="1:24" ht="14.25">
      <c r="A13" s="36" t="s">
        <v>55</v>
      </c>
      <c r="B13" s="35">
        <v>0.08</v>
      </c>
      <c r="C13" s="35">
        <v>0.6</v>
      </c>
      <c r="D13" s="35">
        <v>0</v>
      </c>
      <c r="E13" s="37">
        <f t="shared" si="0"/>
        <v>0</v>
      </c>
      <c r="F13" s="36">
        <v>365</v>
      </c>
      <c r="G13" s="31">
        <v>0</v>
      </c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</row>
    <row r="14" spans="1:24" ht="14.25">
      <c r="A14" s="36" t="s">
        <v>56</v>
      </c>
      <c r="B14" s="35"/>
      <c r="C14" s="35"/>
      <c r="D14" s="35">
        <v>0</v>
      </c>
      <c r="E14" s="37">
        <f t="shared" si="0"/>
        <v>0</v>
      </c>
      <c r="F14" s="36">
        <v>365</v>
      </c>
      <c r="G14" s="31">
        <v>0</v>
      </c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</row>
    <row r="15" spans="1:24" ht="14.25">
      <c r="A15" s="36" t="s">
        <v>57</v>
      </c>
      <c r="B15" s="35">
        <v>82</v>
      </c>
      <c r="C15" s="35">
        <v>0.5</v>
      </c>
      <c r="D15" s="35">
        <v>1500</v>
      </c>
      <c r="E15" s="37">
        <f t="shared" si="0"/>
        <v>6</v>
      </c>
      <c r="F15" s="36">
        <v>225</v>
      </c>
      <c r="G15" s="31">
        <v>0</v>
      </c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</row>
    <row r="16" spans="1:24" ht="12.75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</row>
    <row r="17" spans="1:24" ht="12.7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</row>
    <row r="18" spans="1:24" ht="12.7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</row>
    <row r="19" spans="1:24" ht="12.75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</row>
    <row r="20" spans="1:24" ht="12.7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</row>
    <row r="21" spans="1:24" ht="12.75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</row>
    <row r="22" spans="1:24" ht="12.75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</row>
    <row r="23" spans="1:24" ht="12.75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</row>
    <row r="24" spans="1:24" ht="12.75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</row>
    <row r="25" spans="1:24" ht="12.7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</row>
    <row r="26" spans="1:24" ht="12.75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</row>
    <row r="27" spans="1:24" ht="12.7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</row>
    <row r="28" spans="1:24" ht="12.7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29"/>
  <sheetViews>
    <sheetView zoomScalePageLayoutView="0" workbookViewId="0" topLeftCell="A1">
      <selection activeCell="B101" sqref="B101"/>
    </sheetView>
  </sheetViews>
  <sheetFormatPr defaultColWidth="9.140625" defaultRowHeight="12.75"/>
  <cols>
    <col min="1" max="1" width="25.00390625" style="2" customWidth="1"/>
    <col min="2" max="2" width="20.7109375" style="1" customWidth="1"/>
    <col min="3" max="3" width="9.140625" style="1" customWidth="1"/>
    <col min="4" max="4" width="12.7109375" style="1" customWidth="1"/>
    <col min="5" max="5" width="21.421875" style="1" customWidth="1"/>
    <col min="6" max="6" width="10.7109375" style="1" customWidth="1"/>
    <col min="7" max="7" width="19.140625" style="1" customWidth="1"/>
    <col min="8" max="8" width="16.7109375" style="7" customWidth="1"/>
    <col min="9" max="12" width="9.140625" style="1" customWidth="1"/>
    <col min="13" max="13" width="10.00390625" style="1" customWidth="1"/>
    <col min="14" max="17" width="9.140625" style="1" customWidth="1"/>
    <col min="18" max="18" width="9.421875" style="1" bestFit="1" customWidth="1"/>
    <col min="19" max="19" width="9.421875" style="1" customWidth="1"/>
    <col min="20" max="16384" width="9.140625" style="1" customWidth="1"/>
  </cols>
  <sheetData>
    <row r="1" s="14" customFormat="1" ht="90">
      <c r="A1" s="10" t="s">
        <v>95</v>
      </c>
    </row>
    <row r="2" ht="15">
      <c r="A2" s="6" t="s">
        <v>4</v>
      </c>
    </row>
    <row r="3" spans="2:20" ht="28.5">
      <c r="B3" s="2" t="s">
        <v>5</v>
      </c>
      <c r="C3" s="27">
        <v>100</v>
      </c>
      <c r="R3" s="2" t="s">
        <v>2</v>
      </c>
      <c r="S3" s="2" t="s">
        <v>3</v>
      </c>
      <c r="T3" s="1" t="s">
        <v>1</v>
      </c>
    </row>
    <row r="4" spans="2:20" ht="15">
      <c r="B4" s="1" t="s">
        <v>6</v>
      </c>
      <c r="C4" s="66">
        <f>Standards!B2</f>
        <v>105</v>
      </c>
      <c r="R4" s="3" t="e">
        <f>C20*#REF!/100</f>
        <v>#REF!</v>
      </c>
      <c r="S4" s="3"/>
      <c r="T4" s="1" t="e">
        <f>C19*#REF!/100</f>
        <v>#REF!</v>
      </c>
    </row>
    <row r="5" spans="2:3" ht="15">
      <c r="B5" s="1" t="s">
        <v>7</v>
      </c>
      <c r="C5" s="66">
        <f>100*Standards!C2</f>
        <v>60</v>
      </c>
    </row>
    <row r="6" spans="2:3" ht="15">
      <c r="B6" s="1" t="s">
        <v>8</v>
      </c>
      <c r="C6" s="66">
        <f>Standards!F2</f>
        <v>180</v>
      </c>
    </row>
    <row r="7" spans="2:3" ht="28.5">
      <c r="B7" s="2" t="s">
        <v>9</v>
      </c>
      <c r="C7" s="66">
        <f>Standards!G2</f>
        <v>25</v>
      </c>
    </row>
    <row r="8" ht="15"/>
    <row r="9" ht="15">
      <c r="A9" s="6" t="s">
        <v>10</v>
      </c>
    </row>
    <row r="10" spans="1:3" ht="15">
      <c r="A10" s="38" t="s">
        <v>127</v>
      </c>
      <c r="B10" s="1" t="s">
        <v>75</v>
      </c>
      <c r="C10" s="67">
        <f>Number_of_livestock*N_Excretion*(365-Housed_period__days)/365*(100-excreta_on_yards)/100</f>
        <v>3991.4383561643835</v>
      </c>
    </row>
    <row r="11" spans="1:3" ht="15">
      <c r="A11" s="38" t="s">
        <v>128</v>
      </c>
      <c r="B11" s="1" t="s">
        <v>76</v>
      </c>
      <c r="C11" s="67">
        <f>Number_of_livestock*N_Excretion*excreta_on_yards/100</f>
        <v>2625</v>
      </c>
    </row>
    <row r="12" spans="1:3" ht="15">
      <c r="A12" s="38" t="s">
        <v>58</v>
      </c>
      <c r="B12" s="1" t="s">
        <v>77</v>
      </c>
      <c r="C12" s="67">
        <f>C3*C4*(C6/365)*(100-C7)/100</f>
        <v>3883.5616438356165</v>
      </c>
    </row>
    <row r="13" spans="1:3" ht="15">
      <c r="A13" s="2" t="s">
        <v>33</v>
      </c>
      <c r="C13" s="67">
        <f>m_yard+m_graz+m_hous</f>
        <v>10500</v>
      </c>
    </row>
    <row r="14" spans="1:3" ht="15">
      <c r="A14" s="40" t="s">
        <v>0</v>
      </c>
      <c r="B14" s="40"/>
      <c r="C14" s="32">
        <f>(C3*C4)-C13</f>
        <v>0</v>
      </c>
    </row>
    <row r="15" ht="15"/>
    <row r="16" spans="1:8" s="14" customFormat="1" ht="90">
      <c r="A16" s="10" t="s">
        <v>34</v>
      </c>
      <c r="H16" s="11"/>
    </row>
    <row r="17" ht="15">
      <c r="A17" s="6" t="s">
        <v>4</v>
      </c>
    </row>
    <row r="18" spans="1:5" ht="15">
      <c r="A18" s="39" t="s">
        <v>59</v>
      </c>
      <c r="B18" s="1" t="s">
        <v>78</v>
      </c>
      <c r="C18" s="67">
        <f>C10*$C$5/100</f>
        <v>2394.8630136986303</v>
      </c>
      <c r="D18" s="1" t="s">
        <v>75</v>
      </c>
      <c r="E18" s="67">
        <f>m_graz</f>
        <v>3991.4383561643835</v>
      </c>
    </row>
    <row r="19" spans="1:5" ht="15">
      <c r="A19" s="39" t="s">
        <v>12</v>
      </c>
      <c r="B19" s="1" t="s">
        <v>79</v>
      </c>
      <c r="C19" s="67">
        <f>C11*$C$5/100</f>
        <v>1575</v>
      </c>
      <c r="D19" s="1" t="s">
        <v>76</v>
      </c>
      <c r="E19" s="67">
        <f>m_yard</f>
        <v>2625</v>
      </c>
    </row>
    <row r="20" spans="1:5" ht="15">
      <c r="A20" s="39" t="s">
        <v>13</v>
      </c>
      <c r="B20" s="1" t="s">
        <v>80</v>
      </c>
      <c r="C20" s="67">
        <f>C12*$C$5/100</f>
        <v>2330.1369863013697</v>
      </c>
      <c r="D20" s="1" t="s">
        <v>77</v>
      </c>
      <c r="E20" s="67">
        <f>m_hous</f>
        <v>3883.5616438356165</v>
      </c>
    </row>
    <row r="21" spans="1:5" ht="15">
      <c r="A21" s="2" t="s">
        <v>33</v>
      </c>
      <c r="C21" s="67">
        <f>C19+C18+C20</f>
        <v>6300</v>
      </c>
      <c r="D21" s="4"/>
      <c r="E21" s="67">
        <f>E19+E18+E20</f>
        <v>10500</v>
      </c>
    </row>
    <row r="22" spans="1:5" ht="15">
      <c r="A22" s="40" t="s">
        <v>0</v>
      </c>
      <c r="C22" s="32">
        <f>(C13*C5/100)-C21</f>
        <v>0</v>
      </c>
      <c r="D22" s="35"/>
      <c r="E22" s="32">
        <f>C13-E21</f>
        <v>0</v>
      </c>
    </row>
    <row r="23" ht="15"/>
    <row r="24" ht="15"/>
    <row r="25" spans="1:14" s="14" customFormat="1" ht="75">
      <c r="A25" s="10" t="s">
        <v>11</v>
      </c>
      <c r="H25" s="51"/>
      <c r="I25" s="52"/>
      <c r="J25" s="52"/>
      <c r="K25" s="52"/>
      <c r="L25" s="52"/>
      <c r="M25" s="52"/>
      <c r="N25" s="52"/>
    </row>
    <row r="26" spans="1:14" ht="15">
      <c r="A26" s="6" t="s">
        <v>4</v>
      </c>
      <c r="H26" s="53"/>
      <c r="I26" s="53"/>
      <c r="J26" s="53"/>
      <c r="K26" s="54"/>
      <c r="L26" s="53"/>
      <c r="M26" s="54"/>
      <c r="N26" s="55"/>
    </row>
    <row r="27" spans="2:14" ht="57">
      <c r="B27" s="2" t="s">
        <v>35</v>
      </c>
      <c r="C27" s="28">
        <v>50</v>
      </c>
      <c r="H27" s="51"/>
      <c r="I27" s="56"/>
      <c r="J27" s="55"/>
      <c r="K27" s="55"/>
      <c r="L27" s="55"/>
      <c r="M27" s="35"/>
      <c r="N27" s="57"/>
    </row>
    <row r="28" spans="2:14" ht="57">
      <c r="B28" s="2" t="s">
        <v>27</v>
      </c>
      <c r="C28" s="35">
        <f>100-C27</f>
        <v>50</v>
      </c>
      <c r="H28" s="51"/>
      <c r="I28" s="56"/>
      <c r="J28" s="55"/>
      <c r="K28" s="55"/>
      <c r="L28" s="55"/>
      <c r="M28" s="35"/>
      <c r="N28" s="57"/>
    </row>
    <row r="29" spans="8:14" ht="15">
      <c r="H29" s="58"/>
      <c r="I29" s="56"/>
      <c r="J29" s="55"/>
      <c r="K29" s="55"/>
      <c r="L29" s="55"/>
      <c r="M29" s="35"/>
      <c r="N29" s="57"/>
    </row>
    <row r="30" spans="1:14" ht="15">
      <c r="A30" s="6" t="s">
        <v>10</v>
      </c>
      <c r="H30" s="58"/>
      <c r="I30" s="56"/>
      <c r="J30" s="59"/>
      <c r="K30" s="59"/>
      <c r="L30" s="56"/>
      <c r="M30" s="35"/>
      <c r="N30" s="57"/>
    </row>
    <row r="31" spans="1:14" ht="28.5">
      <c r="A31" s="38" t="s">
        <v>67</v>
      </c>
      <c r="B31" s="9" t="s">
        <v>130</v>
      </c>
      <c r="C31" s="37">
        <f>C20*C27/100</f>
        <v>1165.0684931506848</v>
      </c>
      <c r="D31" s="38" t="s">
        <v>68</v>
      </c>
      <c r="E31" s="9" t="s">
        <v>131</v>
      </c>
      <c r="F31" s="37">
        <f>E20*C27/100</f>
        <v>1941.7808219178082</v>
      </c>
      <c r="H31" s="58"/>
      <c r="I31" s="56"/>
      <c r="J31" s="59"/>
      <c r="K31" s="59"/>
      <c r="L31" s="56"/>
      <c r="M31" s="56"/>
      <c r="N31" s="57"/>
    </row>
    <row r="32" spans="1:14" ht="28.5">
      <c r="A32" s="38" t="s">
        <v>134</v>
      </c>
      <c r="B32" s="9" t="s">
        <v>132</v>
      </c>
      <c r="C32" s="37">
        <f>C20*C28/100</f>
        <v>1165.0684931506848</v>
      </c>
      <c r="D32" s="38" t="s">
        <v>135</v>
      </c>
      <c r="E32" s="9" t="s">
        <v>133</v>
      </c>
      <c r="F32" s="37">
        <f>E20*C28/100</f>
        <v>1941.7808219178082</v>
      </c>
      <c r="H32" s="58"/>
      <c r="I32" s="56"/>
      <c r="J32" s="55"/>
      <c r="K32" s="55"/>
      <c r="L32" s="55"/>
      <c r="M32" s="35"/>
      <c r="N32" s="57"/>
    </row>
    <row r="33" spans="1:14" ht="15">
      <c r="A33" s="2" t="s">
        <v>33</v>
      </c>
      <c r="B33" s="4"/>
      <c r="C33" s="48">
        <f>C32+C31</f>
        <v>2330.1369863013697</v>
      </c>
      <c r="D33" s="4" t="s">
        <v>93</v>
      </c>
      <c r="F33" s="48">
        <f>F32+F31</f>
        <v>3883.5616438356165</v>
      </c>
      <c r="H33" s="58"/>
      <c r="I33" s="56"/>
      <c r="J33" s="55"/>
      <c r="K33" s="55"/>
      <c r="L33" s="55"/>
      <c r="M33" s="35"/>
      <c r="N33" s="57"/>
    </row>
    <row r="34" spans="1:14" ht="15">
      <c r="A34" s="40" t="s">
        <v>0</v>
      </c>
      <c r="C34" s="32">
        <f>C20-C33</f>
        <v>0</v>
      </c>
      <c r="D34" s="23"/>
      <c r="E34" s="23"/>
      <c r="F34" s="32">
        <f>E20-F33</f>
        <v>0</v>
      </c>
      <c r="H34" s="58"/>
      <c r="I34" s="56"/>
      <c r="J34" s="55"/>
      <c r="K34" s="55"/>
      <c r="L34" s="55"/>
      <c r="M34" s="35"/>
      <c r="N34" s="57"/>
    </row>
    <row r="35" spans="1:14" ht="15">
      <c r="A35" s="18"/>
      <c r="H35" s="58"/>
      <c r="I35" s="56"/>
      <c r="J35" s="55"/>
      <c r="K35" s="55"/>
      <c r="L35" s="55"/>
      <c r="M35" s="35"/>
      <c r="N35" s="57"/>
    </row>
    <row r="36" spans="8:14" ht="15">
      <c r="H36" s="58"/>
      <c r="I36" s="56"/>
      <c r="J36" s="55"/>
      <c r="K36" s="55"/>
      <c r="L36" s="55"/>
      <c r="M36" s="35"/>
      <c r="N36" s="35"/>
    </row>
    <row r="37" spans="1:14" s="14" customFormat="1" ht="45">
      <c r="A37" s="10" t="s">
        <v>14</v>
      </c>
      <c r="H37" s="51"/>
      <c r="I37" s="60"/>
      <c r="J37" s="61"/>
      <c r="K37" s="61"/>
      <c r="L37" s="62"/>
      <c r="M37" s="62"/>
      <c r="N37" s="62"/>
    </row>
    <row r="38" spans="1:14" s="14" customFormat="1" ht="15">
      <c r="A38" s="10"/>
      <c r="H38" s="51"/>
      <c r="I38" s="60"/>
      <c r="J38" s="61"/>
      <c r="K38" s="61"/>
      <c r="L38" s="62"/>
      <c r="M38" s="62"/>
      <c r="N38" s="62"/>
    </row>
    <row r="39" spans="1:14" ht="15">
      <c r="A39" s="6" t="s">
        <v>10</v>
      </c>
      <c r="H39" s="58"/>
      <c r="I39" s="35"/>
      <c r="J39" s="35"/>
      <c r="K39" s="35"/>
      <c r="L39" s="35"/>
      <c r="M39" s="35"/>
      <c r="N39" s="65"/>
    </row>
    <row r="40" spans="1:14" ht="18.75">
      <c r="A40" s="38" t="s">
        <v>20</v>
      </c>
      <c r="B40" s="9" t="s">
        <v>136</v>
      </c>
      <c r="C40" s="68">
        <f>C31*Standards!I2</f>
        <v>233.013698630137</v>
      </c>
      <c r="H40" s="58"/>
      <c r="I40" s="35"/>
      <c r="J40" s="35"/>
      <c r="K40" s="35"/>
      <c r="L40" s="35"/>
      <c r="M40" s="35"/>
      <c r="N40" s="35"/>
    </row>
    <row r="41" spans="1:3" ht="18.75">
      <c r="A41" s="38" t="s">
        <v>22</v>
      </c>
      <c r="B41" s="9" t="s">
        <v>137</v>
      </c>
      <c r="C41" s="68">
        <f>C32*Standards!J2</f>
        <v>221.3630136986301</v>
      </c>
    </row>
    <row r="42" spans="1:3" ht="18.75">
      <c r="A42" s="38" t="s">
        <v>23</v>
      </c>
      <c r="B42" s="9" t="s">
        <v>138</v>
      </c>
      <c r="C42" s="68">
        <f>C19*Standards!K2</f>
        <v>472.5</v>
      </c>
    </row>
    <row r="43" ht="15">
      <c r="C43" s="4"/>
    </row>
    <row r="44" ht="15"/>
    <row r="45" ht="60">
      <c r="A45" s="10" t="s">
        <v>72</v>
      </c>
    </row>
    <row r="46" ht="15">
      <c r="A46" s="6" t="s">
        <v>4</v>
      </c>
    </row>
    <row r="47" spans="2:3" ht="28.5">
      <c r="B47" s="2" t="s">
        <v>129</v>
      </c>
      <c r="C47" s="66">
        <f>Number_of_livestock*Standards!D2*C28/100</f>
        <v>75000</v>
      </c>
    </row>
    <row r="48" spans="2:3" ht="18">
      <c r="B48" s="8" t="s">
        <v>99</v>
      </c>
      <c r="C48" s="66">
        <f>Number_of_livestock*Standards!E2*C28/100</f>
        <v>300</v>
      </c>
    </row>
    <row r="49" spans="2:3" ht="18.75">
      <c r="B49" s="9" t="s">
        <v>21</v>
      </c>
      <c r="C49" s="49">
        <v>0.0067</v>
      </c>
    </row>
    <row r="50" ht="15">
      <c r="B50" s="9"/>
    </row>
    <row r="51" spans="1:2" ht="15">
      <c r="A51" s="6" t="s">
        <v>10</v>
      </c>
      <c r="B51" s="9"/>
    </row>
    <row r="52" spans="1:3" ht="18.75">
      <c r="A52" s="38" t="s">
        <v>24</v>
      </c>
      <c r="B52" s="9" t="s">
        <v>175</v>
      </c>
      <c r="C52" s="37">
        <f>C32-(C41+(C47*C49))</f>
        <v>441.20547945205476</v>
      </c>
    </row>
    <row r="53" spans="1:3" ht="18.75">
      <c r="A53" s="39" t="s">
        <v>25</v>
      </c>
      <c r="B53" s="9" t="s">
        <v>174</v>
      </c>
      <c r="C53" s="37">
        <f>F32-C41+C48</f>
        <v>2020.4178082191781</v>
      </c>
    </row>
    <row r="54" spans="1:5" ht="15">
      <c r="A54" s="20" t="s">
        <v>0</v>
      </c>
      <c r="C54" s="24">
        <f>(C48+C12*C28/100)-(C41+C53)</f>
        <v>0</v>
      </c>
      <c r="D54" s="42"/>
      <c r="E54" s="41"/>
    </row>
    <row r="55" ht="15">
      <c r="A55" s="1"/>
    </row>
    <row r="56" spans="1:7" ht="15">
      <c r="A56" s="1"/>
      <c r="E56" s="9"/>
      <c r="F56" s="4"/>
      <c r="G56" s="29"/>
    </row>
    <row r="57" spans="2:7" ht="15">
      <c r="B57" s="9"/>
      <c r="C57" s="26"/>
      <c r="G57" s="30"/>
    </row>
    <row r="58" spans="1:7" ht="60">
      <c r="A58" s="5" t="s">
        <v>73</v>
      </c>
      <c r="B58" s="9"/>
      <c r="C58" s="26"/>
      <c r="G58" s="29"/>
    </row>
    <row r="59" spans="2:7" ht="18.75">
      <c r="B59" s="9" t="s">
        <v>100</v>
      </c>
      <c r="C59" s="28">
        <v>1</v>
      </c>
      <c r="G59" s="29"/>
    </row>
    <row r="60" spans="2:7" ht="18.75">
      <c r="B60" s="9" t="s">
        <v>173</v>
      </c>
      <c r="C60" s="28">
        <v>0.5</v>
      </c>
      <c r="G60" s="29"/>
    </row>
    <row r="61" spans="1:7" ht="15">
      <c r="A61" s="6" t="s">
        <v>10</v>
      </c>
      <c r="B61" s="31"/>
      <c r="C61" s="35"/>
      <c r="G61" s="29"/>
    </row>
    <row r="62" spans="1:7" ht="18.75">
      <c r="A62" s="38" t="s">
        <v>60</v>
      </c>
      <c r="B62" s="9" t="s">
        <v>81</v>
      </c>
      <c r="C62" s="37">
        <f>((C31+C19)-(C40+C42))*C59</f>
        <v>2034.5547945205478</v>
      </c>
      <c r="G62" s="29"/>
    </row>
    <row r="63" spans="1:7" ht="18.75">
      <c r="A63" s="39" t="s">
        <v>61</v>
      </c>
      <c r="B63" s="9" t="s">
        <v>26</v>
      </c>
      <c r="C63" s="37">
        <f>((F31-C40)+(E19-C42))*C59</f>
        <v>3861.267123287671</v>
      </c>
      <c r="G63" s="29"/>
    </row>
    <row r="64" spans="1:7" ht="18.75">
      <c r="A64" s="38" t="s">
        <v>69</v>
      </c>
      <c r="B64" s="9" t="s">
        <v>139</v>
      </c>
      <c r="C64" s="37">
        <f>C52*C60</f>
        <v>220.60273972602738</v>
      </c>
      <c r="G64" s="29"/>
    </row>
    <row r="65" spans="1:7" ht="18.75">
      <c r="A65" s="39" t="s">
        <v>70</v>
      </c>
      <c r="B65" s="9" t="s">
        <v>140</v>
      </c>
      <c r="C65" s="37">
        <f>C53*C60</f>
        <v>1010.2089041095891</v>
      </c>
      <c r="G65" s="29"/>
    </row>
    <row r="66" spans="1:7" ht="15">
      <c r="A66" s="35"/>
      <c r="B66" s="9"/>
      <c r="C66" s="37"/>
      <c r="G66" s="29"/>
    </row>
    <row r="67" spans="1:7" ht="57">
      <c r="A67" s="31" t="s">
        <v>102</v>
      </c>
      <c r="B67" s="9"/>
      <c r="C67" s="37"/>
      <c r="G67" s="29"/>
    </row>
    <row r="68" spans="1:7" ht="18.75">
      <c r="A68" s="38" t="s">
        <v>62</v>
      </c>
      <c r="B68" s="9" t="s">
        <v>141</v>
      </c>
      <c r="C68" s="37">
        <f>((C31+C19)-(C40+C42))*(1-C59)</f>
        <v>0</v>
      </c>
      <c r="G68" s="29"/>
    </row>
    <row r="69" spans="1:7" ht="18.75">
      <c r="A69" s="39" t="s">
        <v>28</v>
      </c>
      <c r="B69" s="9" t="s">
        <v>142</v>
      </c>
      <c r="C69" s="37">
        <f>((F31-C40)+(E19-C42))*(1-C59)</f>
        <v>0</v>
      </c>
      <c r="G69" s="29"/>
    </row>
    <row r="70" spans="1:7" ht="18.75">
      <c r="A70" s="38" t="s">
        <v>37</v>
      </c>
      <c r="B70" s="9" t="s">
        <v>143</v>
      </c>
      <c r="C70" s="37">
        <f>C52*(1-C60)</f>
        <v>220.60273972602738</v>
      </c>
      <c r="G70" s="29"/>
    </row>
    <row r="71" spans="1:7" ht="18.75">
      <c r="A71" s="39" t="s">
        <v>83</v>
      </c>
      <c r="B71" s="9" t="s">
        <v>144</v>
      </c>
      <c r="C71" s="37">
        <f>C53*(1-C60)</f>
        <v>1010.2089041095891</v>
      </c>
      <c r="G71" s="29"/>
    </row>
    <row r="72" spans="1:7" ht="15">
      <c r="A72" s="35"/>
      <c r="B72" s="9"/>
      <c r="C72" s="37"/>
      <c r="G72" s="29"/>
    </row>
    <row r="73" ht="15"/>
    <row r="74" spans="1:8" s="14" customFormat="1" ht="60">
      <c r="A74" s="10" t="s">
        <v>74</v>
      </c>
      <c r="H74" s="11"/>
    </row>
    <row r="75" ht="15">
      <c r="A75" s="6" t="s">
        <v>4</v>
      </c>
    </row>
    <row r="76" spans="2:3" ht="18.75">
      <c r="B76" s="1" t="s">
        <v>103</v>
      </c>
      <c r="C76" s="49">
        <v>0.1</v>
      </c>
    </row>
    <row r="77" ht="15"/>
    <row r="78" spans="1:7" ht="15">
      <c r="A78" s="6" t="s">
        <v>10</v>
      </c>
      <c r="G78" s="20"/>
    </row>
    <row r="79" spans="1:3" ht="18.75">
      <c r="A79" s="38" t="s">
        <v>82</v>
      </c>
      <c r="B79" s="9" t="s">
        <v>145</v>
      </c>
      <c r="C79" s="50">
        <f>C62+((C63-C62)*C76)</f>
        <v>2217.22602739726</v>
      </c>
    </row>
    <row r="80" spans="2:3" ht="15">
      <c r="B80" s="9"/>
      <c r="C80" s="4"/>
    </row>
    <row r="81" spans="1:8" s="14" customFormat="1" ht="30">
      <c r="A81" s="10" t="s">
        <v>88</v>
      </c>
      <c r="B81" s="12"/>
      <c r="C81" s="13"/>
      <c r="E81" s="12"/>
      <c r="F81" s="13"/>
      <c r="H81" s="11"/>
    </row>
    <row r="82" ht="15"/>
    <row r="83" ht="15">
      <c r="A83" s="6" t="s">
        <v>10</v>
      </c>
    </row>
    <row r="84" spans="1:3" ht="18.75">
      <c r="A84" s="38" t="s">
        <v>71</v>
      </c>
      <c r="B84" s="9" t="s">
        <v>117</v>
      </c>
      <c r="C84" s="69">
        <f>$C$79*Standards!L2</f>
        <v>443.44520547945206</v>
      </c>
    </row>
    <row r="85" spans="1:3" ht="18.75">
      <c r="A85" s="38" t="s">
        <v>71</v>
      </c>
      <c r="B85" s="9" t="s">
        <v>116</v>
      </c>
      <c r="C85" s="69">
        <f>$C$79*Standards!N2</f>
        <v>2.21722602739726</v>
      </c>
    </row>
    <row r="86" spans="1:3" ht="18.75">
      <c r="A86" s="38" t="s">
        <v>71</v>
      </c>
      <c r="B86" s="9" t="s">
        <v>118</v>
      </c>
      <c r="C86" s="69">
        <f>$C$79*Standards!P2</f>
        <v>0.22172260273972602</v>
      </c>
    </row>
    <row r="87" spans="1:3" ht="18.75">
      <c r="A87" s="38" t="s">
        <v>71</v>
      </c>
      <c r="B87" s="9" t="s">
        <v>119</v>
      </c>
      <c r="C87" s="69">
        <f>$C$79*Standards!R2</f>
        <v>6.651678082191781</v>
      </c>
    </row>
    <row r="88" spans="1:3" ht="18.75">
      <c r="A88" s="38" t="s">
        <v>84</v>
      </c>
      <c r="B88" s="9" t="s">
        <v>122</v>
      </c>
      <c r="C88" s="69">
        <f>$C$64*Standards!M2</f>
        <v>59.562739726027395</v>
      </c>
    </row>
    <row r="89" spans="1:3" ht="18.75">
      <c r="A89" s="38" t="s">
        <v>84</v>
      </c>
      <c r="B89" s="9" t="s">
        <v>123</v>
      </c>
      <c r="C89" s="69">
        <f>$C$64*Standards!O2</f>
        <v>17.64821917808219</v>
      </c>
    </row>
    <row r="90" spans="1:3" ht="18.75">
      <c r="A90" s="38" t="s">
        <v>84</v>
      </c>
      <c r="B90" s="9" t="s">
        <v>124</v>
      </c>
      <c r="C90" s="69">
        <f>$C$64*Standards!Q2</f>
        <v>1.7648219178082192</v>
      </c>
    </row>
    <row r="91" spans="1:3" ht="18.75">
      <c r="A91" s="38" t="s">
        <v>84</v>
      </c>
      <c r="B91" s="9" t="s">
        <v>125</v>
      </c>
      <c r="C91" s="69">
        <f>$C$64*Standards!S2</f>
        <v>66.18082191780822</v>
      </c>
    </row>
    <row r="92" ht="15"/>
    <row r="93" ht="15"/>
    <row r="94" ht="45">
      <c r="A94" s="5" t="s">
        <v>89</v>
      </c>
    </row>
    <row r="95" spans="1:7" ht="15">
      <c r="A95" s="6" t="s">
        <v>10</v>
      </c>
      <c r="D95" s="43" t="s">
        <v>94</v>
      </c>
      <c r="F95" s="35"/>
      <c r="G95" s="43" t="s">
        <v>94</v>
      </c>
    </row>
    <row r="96" spans="1:7" ht="18.75">
      <c r="A96" s="38" t="s">
        <v>85</v>
      </c>
      <c r="B96" s="9" t="s">
        <v>147</v>
      </c>
      <c r="C96" s="26">
        <f>(C68+C79)-(C84+C85+C86+C87)</f>
        <v>1764.6901952054793</v>
      </c>
      <c r="D96" s="44">
        <f>C96*100/C97</f>
        <v>51.769706806022256</v>
      </c>
      <c r="F96" s="37">
        <f>(C31+C19+((C63-C62)*C76))-(C40+C42+C84+C85+C86+C87)</f>
        <v>1764.6901952054793</v>
      </c>
      <c r="G96" s="44">
        <f>F96*100/F97</f>
        <v>51.76970680602226</v>
      </c>
    </row>
    <row r="97" spans="1:7" ht="18.75">
      <c r="A97" s="39" t="s">
        <v>149</v>
      </c>
      <c r="B97" s="9" t="s">
        <v>148</v>
      </c>
      <c r="C97" s="26">
        <f>(C69+C63)-(C84+C85+C86+C87)</f>
        <v>3408.7312910958904</v>
      </c>
      <c r="D97" s="45"/>
      <c r="E97" s="9"/>
      <c r="F97" s="37">
        <f>(F31+E19)-(C40+C42+C84+C85+C86+C87)</f>
        <v>3408.73129109589</v>
      </c>
      <c r="G97" s="44"/>
    </row>
    <row r="98" spans="1:3" ht="28.5">
      <c r="A98" s="38" t="s">
        <v>184</v>
      </c>
      <c r="B98" s="9" t="s">
        <v>126</v>
      </c>
      <c r="C98" s="69">
        <f>$C$64*Standards!T2</f>
        <v>0</v>
      </c>
    </row>
    <row r="99" spans="1:7" ht="18.75">
      <c r="A99" s="38" t="s">
        <v>146</v>
      </c>
      <c r="B99" s="9" t="s">
        <v>150</v>
      </c>
      <c r="C99" s="26">
        <f>(C64+C70)-(C88+C89+C90+C91+C98)</f>
        <v>296.0488767123287</v>
      </c>
      <c r="D99" s="44">
        <f>C99*100/C100</f>
        <v>15.787074133847783</v>
      </c>
      <c r="F99" s="26">
        <f>C52-(C88+C89+C90+C91+C98)</f>
        <v>296.0488767123287</v>
      </c>
      <c r="G99" s="46">
        <f>F99*100/(F100)</f>
        <v>15.787074133847783</v>
      </c>
    </row>
    <row r="100" spans="1:7" ht="18.75">
      <c r="A100" s="39" t="s">
        <v>151</v>
      </c>
      <c r="B100" s="9" t="s">
        <v>185</v>
      </c>
      <c r="C100" s="26">
        <f>(C65+C71)-(C88+C89+C90+C91+C98)</f>
        <v>1875.2612054794522</v>
      </c>
      <c r="E100" s="9"/>
      <c r="F100" s="26">
        <f>C53-(C88+C89+C90+C91+C98)</f>
        <v>1875.2612054794522</v>
      </c>
      <c r="G100" s="16"/>
    </row>
    <row r="101" spans="1:8" s="24" customFormat="1" ht="15">
      <c r="A101" s="47" t="s">
        <v>0</v>
      </c>
      <c r="B101" s="22" t="s">
        <v>36</v>
      </c>
      <c r="C101" s="32">
        <f>((C79+(((C19+C31)-(C40+C42))*(1-C59)))-(C84+C85+C86+C87))-F96</f>
        <v>0</v>
      </c>
      <c r="D101" s="32"/>
      <c r="E101" s="33"/>
      <c r="F101" s="32">
        <f>((E19+(E20*C27/100))-(C40+C42+C84+C85+C86+C87))-F97</f>
        <v>0</v>
      </c>
      <c r="G101" s="23"/>
      <c r="H101" s="21"/>
    </row>
    <row r="102" spans="1:8" s="15" customFormat="1" ht="15">
      <c r="A102" s="18"/>
      <c r="B102" s="25" t="s">
        <v>167</v>
      </c>
      <c r="C102" s="32">
        <f>(C32-((C47*C49)+C41+C88+C89+C90+C91+C98))-F99</f>
        <v>0</v>
      </c>
      <c r="D102" s="29"/>
      <c r="E102" s="29"/>
      <c r="F102" s="32">
        <f>(F32+C48)-(C41+C88+C89+C90+C91+C98)-F100</f>
        <v>0</v>
      </c>
      <c r="H102" s="18"/>
    </row>
    <row r="103" ht="15"/>
    <row r="104" ht="45">
      <c r="A104" s="5" t="s">
        <v>90</v>
      </c>
    </row>
    <row r="105" ht="15"/>
    <row r="106" ht="15">
      <c r="A106" s="6" t="s">
        <v>10</v>
      </c>
    </row>
    <row r="107" spans="1:3" ht="19.5">
      <c r="A107" s="39" t="s">
        <v>86</v>
      </c>
      <c r="B107" s="17" t="s">
        <v>152</v>
      </c>
      <c r="C107" s="70">
        <f>F96*Standards!U2</f>
        <v>970.5796073630137</v>
      </c>
    </row>
    <row r="108" spans="1:3" ht="19.5">
      <c r="A108" s="39" t="s">
        <v>87</v>
      </c>
      <c r="B108" s="17" t="s">
        <v>153</v>
      </c>
      <c r="C108" s="70">
        <f>F99*Standards!V2</f>
        <v>233.87861260273968</v>
      </c>
    </row>
    <row r="109" ht="15">
      <c r="A109" s="1"/>
    </row>
    <row r="110" ht="15"/>
    <row r="111" ht="60">
      <c r="A111" s="19" t="s">
        <v>92</v>
      </c>
    </row>
    <row r="112" ht="15">
      <c r="A112" s="6" t="s">
        <v>10</v>
      </c>
    </row>
    <row r="113" ht="15"/>
    <row r="114" spans="1:3" ht="18.75">
      <c r="A114" s="38" t="s">
        <v>120</v>
      </c>
      <c r="B114" s="9" t="s">
        <v>154</v>
      </c>
      <c r="C114" s="4">
        <f>F96-C107</f>
        <v>794.1105878424656</v>
      </c>
    </row>
    <row r="115" spans="1:6" ht="18.75">
      <c r="A115" s="39" t="s">
        <v>121</v>
      </c>
      <c r="B115" s="9" t="s">
        <v>155</v>
      </c>
      <c r="C115" s="48">
        <f>F97-C107</f>
        <v>2438.1516837328763</v>
      </c>
      <c r="E115" s="9"/>
      <c r="F115" s="4"/>
    </row>
    <row r="116" spans="1:3" ht="18.75">
      <c r="A116" s="38" t="s">
        <v>158</v>
      </c>
      <c r="B116" s="9" t="s">
        <v>156</v>
      </c>
      <c r="C116" s="48">
        <f>F99-C108</f>
        <v>62.17026410958903</v>
      </c>
    </row>
    <row r="117" spans="1:3" ht="18.75">
      <c r="A117" s="39" t="s">
        <v>159</v>
      </c>
      <c r="B117" s="9" t="s">
        <v>157</v>
      </c>
      <c r="C117" s="48">
        <f>F100-C108</f>
        <v>1641.3825928767126</v>
      </c>
    </row>
    <row r="118" ht="15"/>
    <row r="119" ht="45">
      <c r="A119" s="5" t="s">
        <v>91</v>
      </c>
    </row>
    <row r="120" ht="15">
      <c r="A120" s="6" t="s">
        <v>10</v>
      </c>
    </row>
    <row r="121" spans="1:3" ht="18.75">
      <c r="A121" s="38" t="s">
        <v>160</v>
      </c>
      <c r="B121" s="9" t="s">
        <v>162</v>
      </c>
      <c r="C121" s="71">
        <f>C18*Standards!W2</f>
        <v>239.48630136986304</v>
      </c>
    </row>
    <row r="122" spans="1:6" ht="28.5">
      <c r="A122" s="2" t="s">
        <v>163</v>
      </c>
      <c r="B122" s="1" t="s">
        <v>38</v>
      </c>
      <c r="C122" s="4">
        <f>C18-C121</f>
        <v>2155.376712328767</v>
      </c>
      <c r="E122" s="1" t="s">
        <v>39</v>
      </c>
      <c r="F122" s="48">
        <f>E18-C121</f>
        <v>3751.9520547945203</v>
      </c>
    </row>
    <row r="123" spans="1:8" s="20" customFormat="1" ht="15">
      <c r="A123" s="40" t="s">
        <v>0</v>
      </c>
      <c r="C123" s="34">
        <f>C18-C122-C121</f>
        <v>0</v>
      </c>
      <c r="D123" s="34"/>
      <c r="E123" s="34"/>
      <c r="F123" s="32">
        <f>(E18-C121)-F122</f>
        <v>0</v>
      </c>
      <c r="H123" s="18"/>
    </row>
    <row r="124" ht="15"/>
    <row r="125" spans="1:3" ht="15">
      <c r="A125" s="1" t="s">
        <v>165</v>
      </c>
      <c r="C125" s="3">
        <f>C13+C48</f>
        <v>10800</v>
      </c>
    </row>
    <row r="126" spans="1:3" ht="15">
      <c r="A126" s="1" t="s">
        <v>166</v>
      </c>
      <c r="C126" s="3">
        <f>(C40+C41+C42+C84+C85+C86+C87+C88+C89+C90+C91+C98+C107+C108+C121)+(C115+C117+F122)</f>
        <v>10800</v>
      </c>
    </row>
    <row r="127" spans="1:3" ht="15">
      <c r="A127" s="40" t="s">
        <v>164</v>
      </c>
      <c r="C127" s="34">
        <f>C125-C126</f>
        <v>0</v>
      </c>
    </row>
    <row r="128" ht="15">
      <c r="C128" s="3"/>
    </row>
    <row r="129" ht="15">
      <c r="C129" s="3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24.140625" style="72" customWidth="1"/>
    <col min="2" max="5" width="9.140625" style="72" customWidth="1"/>
    <col min="6" max="6" width="11.00390625" style="72" customWidth="1"/>
    <col min="7" max="7" width="9.140625" style="72" customWidth="1"/>
  </cols>
  <sheetData>
    <row r="1" spans="1:7" ht="15">
      <c r="A1" s="51" t="s">
        <v>15</v>
      </c>
      <c r="B1" s="52"/>
      <c r="C1" s="52"/>
      <c r="D1" s="52"/>
      <c r="E1" s="52"/>
      <c r="F1" s="52"/>
      <c r="G1" s="52"/>
    </row>
    <row r="2" spans="1:7" ht="15">
      <c r="A2" s="51"/>
      <c r="B2" s="73" t="s">
        <v>169</v>
      </c>
      <c r="C2" s="73"/>
      <c r="D2" s="73"/>
      <c r="E2" s="73"/>
      <c r="F2" s="52"/>
      <c r="G2" s="52"/>
    </row>
    <row r="3" spans="1:7" ht="37.5">
      <c r="A3" s="53" t="s">
        <v>16</v>
      </c>
      <c r="B3" s="53" t="s">
        <v>63</v>
      </c>
      <c r="C3" s="53" t="s">
        <v>65</v>
      </c>
      <c r="D3" s="54" t="s">
        <v>64</v>
      </c>
      <c r="E3" s="53" t="s">
        <v>66</v>
      </c>
      <c r="F3" s="53" t="s">
        <v>168</v>
      </c>
      <c r="G3" s="55"/>
    </row>
    <row r="4" spans="1:7" ht="36" customHeight="1">
      <c r="A4" s="51" t="s">
        <v>17</v>
      </c>
      <c r="B4" s="56">
        <f>'Dairy example'!C40*17/14</f>
        <v>282.94520547945206</v>
      </c>
      <c r="C4" s="55"/>
      <c r="D4" s="55"/>
      <c r="E4" s="55"/>
      <c r="F4" s="35"/>
      <c r="G4" s="57"/>
    </row>
    <row r="5" spans="1:7" ht="36" customHeight="1">
      <c r="A5" s="51" t="s">
        <v>18</v>
      </c>
      <c r="B5" s="56">
        <f>'Dairy example'!C41*17/14</f>
        <v>268.79794520547944</v>
      </c>
      <c r="C5" s="55"/>
      <c r="D5" s="55"/>
      <c r="E5" s="55"/>
      <c r="F5" s="35"/>
      <c r="G5" s="57"/>
    </row>
    <row r="6" spans="1:7" ht="15">
      <c r="A6" s="58" t="s">
        <v>19</v>
      </c>
      <c r="B6" s="56">
        <f>'Dairy example'!C42*17/14</f>
        <v>573.75</v>
      </c>
      <c r="C6" s="55"/>
      <c r="D6" s="55"/>
      <c r="E6" s="55"/>
      <c r="F6" s="35"/>
      <c r="G6" s="57"/>
    </row>
    <row r="7" spans="1:7" ht="22.5" customHeight="1">
      <c r="A7" s="58" t="s">
        <v>29</v>
      </c>
      <c r="B7" s="56">
        <f>'Dairy example'!C84*17/14</f>
        <v>538.4691780821918</v>
      </c>
      <c r="C7" s="59">
        <f>'Dairy example'!C85*44/28</f>
        <v>3.4842123287671227</v>
      </c>
      <c r="D7" s="59">
        <f>'Dairy example'!C86*30/14</f>
        <v>0.47511986301369863</v>
      </c>
      <c r="E7" s="56">
        <f>'Dairy example'!C87</f>
        <v>6.651678082191781</v>
      </c>
      <c r="F7" s="35"/>
      <c r="G7" s="57"/>
    </row>
    <row r="8" spans="1:7" ht="22.5" customHeight="1">
      <c r="A8" s="58" t="s">
        <v>30</v>
      </c>
      <c r="B8" s="56">
        <f>'Dairy example'!C88*17/14</f>
        <v>72.32618395303327</v>
      </c>
      <c r="C8" s="59">
        <f>'Dairy example'!C89*44/28</f>
        <v>27.732915851272015</v>
      </c>
      <c r="D8" s="59">
        <f>'Dairy example'!C90*30/14</f>
        <v>3.781761252446184</v>
      </c>
      <c r="E8" s="56">
        <f>'Dairy example'!C91</f>
        <v>66.18082191780822</v>
      </c>
      <c r="F8" s="56">
        <f>'Dairy example'!C98*62/14</f>
        <v>0</v>
      </c>
      <c r="G8" s="57"/>
    </row>
    <row r="9" spans="1:7" ht="23.25" customHeight="1">
      <c r="A9" s="58" t="s">
        <v>31</v>
      </c>
      <c r="B9" s="56">
        <f>'Dairy example'!C107*17/14</f>
        <v>1178.560951797945</v>
      </c>
      <c r="C9" s="55"/>
      <c r="D9" s="55"/>
      <c r="E9" s="55"/>
      <c r="F9" s="35"/>
      <c r="G9" s="57"/>
    </row>
    <row r="10" spans="1:7" ht="22.5" customHeight="1">
      <c r="A10" s="58" t="s">
        <v>170</v>
      </c>
      <c r="B10" s="56">
        <f>'Dairy example'!C108*17/14</f>
        <v>283.99545816046964</v>
      </c>
      <c r="C10" s="55"/>
      <c r="D10" s="55"/>
      <c r="E10" s="55"/>
      <c r="F10" s="35"/>
      <c r="G10" s="57"/>
    </row>
    <row r="11" spans="1:7" ht="15">
      <c r="A11" s="58" t="s">
        <v>32</v>
      </c>
      <c r="B11" s="56">
        <f>'Dairy example'!C121*17/14</f>
        <v>290.804794520548</v>
      </c>
      <c r="C11" s="55"/>
      <c r="D11" s="55"/>
      <c r="E11" s="55"/>
      <c r="F11" s="35"/>
      <c r="G11" s="57"/>
    </row>
    <row r="12" spans="1:7" ht="15">
      <c r="A12" s="58"/>
      <c r="B12" s="56"/>
      <c r="C12" s="55"/>
      <c r="D12" s="55"/>
      <c r="E12" s="55"/>
      <c r="F12" s="35"/>
      <c r="G12" s="57"/>
    </row>
    <row r="13" spans="1:7" ht="15">
      <c r="A13" s="58"/>
      <c r="B13" s="56"/>
      <c r="C13" s="55"/>
      <c r="D13" s="55"/>
      <c r="E13" s="55"/>
      <c r="F13" s="35"/>
      <c r="G13" s="35"/>
    </row>
    <row r="14" spans="1:7" ht="15">
      <c r="A14" s="51" t="s">
        <v>33</v>
      </c>
      <c r="B14" s="60">
        <f>SUM(B4:B11)</f>
        <v>3489.6497171991196</v>
      </c>
      <c r="C14" s="61">
        <f>SUM(C4:C11)</f>
        <v>31.217128180039136</v>
      </c>
      <c r="D14" s="61">
        <f>SUM(D4:D11)</f>
        <v>4.2568811154598825</v>
      </c>
      <c r="E14" s="62">
        <f>SUM(E4:E11)</f>
        <v>72.8325</v>
      </c>
      <c r="F14" s="62">
        <f>SUM(F4:F11)</f>
        <v>0</v>
      </c>
      <c r="G14" s="62"/>
    </row>
    <row r="15" spans="1:7" ht="15">
      <c r="A15" s="51"/>
      <c r="B15" s="60"/>
      <c r="C15" s="61"/>
      <c r="D15" s="61"/>
      <c r="E15" s="62"/>
      <c r="F15" s="62"/>
      <c r="G15" s="62"/>
    </row>
    <row r="16" spans="1:7" ht="15">
      <c r="A16" s="51"/>
      <c r="B16" s="74"/>
      <c r="C16" s="61"/>
      <c r="D16" s="61"/>
      <c r="E16" s="62"/>
      <c r="F16" s="62"/>
      <c r="G16" s="62"/>
    </row>
    <row r="17" spans="1:7" ht="15">
      <c r="A17" s="58"/>
      <c r="B17" s="56"/>
      <c r="C17" s="35"/>
      <c r="D17" s="35"/>
      <c r="E17" s="35"/>
      <c r="F17" s="35"/>
      <c r="G17" s="63"/>
    </row>
    <row r="18" spans="1:7" ht="15">
      <c r="A18" s="58"/>
      <c r="B18" s="56"/>
      <c r="C18" s="35"/>
      <c r="D18" s="35"/>
      <c r="E18" s="35"/>
      <c r="F18" s="35"/>
      <c r="G18" s="63"/>
    </row>
    <row r="19" spans="1:7" ht="15">
      <c r="A19" s="58"/>
      <c r="B19" s="56"/>
      <c r="C19" s="35"/>
      <c r="D19" s="35"/>
      <c r="E19" s="35"/>
      <c r="F19" s="35"/>
      <c r="G19" s="63"/>
    </row>
    <row r="20" spans="1:7" ht="15">
      <c r="A20" s="58"/>
      <c r="B20" s="64"/>
      <c r="C20" s="35"/>
      <c r="D20" s="35"/>
      <c r="E20" s="35"/>
      <c r="F20" s="35"/>
      <c r="G20" s="63"/>
    </row>
    <row r="21" spans="1:7" ht="14.25">
      <c r="A21" s="35"/>
      <c r="B21" s="35"/>
      <c r="C21" s="35"/>
      <c r="D21" s="35"/>
      <c r="E21" s="35"/>
      <c r="F21" s="35"/>
      <c r="G21" s="35"/>
    </row>
    <row r="22" spans="1:7" ht="15">
      <c r="A22" s="58"/>
      <c r="B22" s="35"/>
      <c r="C22" s="35"/>
      <c r="D22" s="35"/>
      <c r="E22" s="35"/>
      <c r="F22" s="35"/>
      <c r="G22" s="65"/>
    </row>
    <row r="23" spans="1:7" ht="15">
      <c r="A23" s="58"/>
      <c r="B23" s="35"/>
      <c r="C23" s="35"/>
      <c r="D23" s="35"/>
      <c r="E23" s="35"/>
      <c r="F23" s="35"/>
      <c r="G23" s="35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29"/>
  <sheetViews>
    <sheetView zoomScalePageLayoutView="0" workbookViewId="0" topLeftCell="A1">
      <selection activeCell="B101" sqref="B101"/>
    </sheetView>
  </sheetViews>
  <sheetFormatPr defaultColWidth="9.140625" defaultRowHeight="12.75"/>
  <cols>
    <col min="1" max="1" width="25.00390625" style="2" customWidth="1"/>
    <col min="2" max="2" width="20.7109375" style="1" customWidth="1"/>
    <col min="3" max="3" width="11.57421875" style="1" customWidth="1"/>
    <col min="4" max="4" width="12.7109375" style="1" customWidth="1"/>
    <col min="5" max="5" width="21.421875" style="1" customWidth="1"/>
    <col min="6" max="6" width="10.7109375" style="1" customWidth="1"/>
    <col min="7" max="7" width="19.140625" style="1" customWidth="1"/>
    <col min="8" max="8" width="16.7109375" style="7" customWidth="1"/>
    <col min="9" max="12" width="9.140625" style="1" customWidth="1"/>
    <col min="13" max="13" width="10.00390625" style="1" customWidth="1"/>
    <col min="14" max="17" width="9.140625" style="1" customWidth="1"/>
    <col min="18" max="18" width="9.421875" style="1" bestFit="1" customWidth="1"/>
    <col min="19" max="19" width="9.421875" style="1" customWidth="1"/>
    <col min="20" max="16384" width="9.140625" style="1" customWidth="1"/>
  </cols>
  <sheetData>
    <row r="1" s="14" customFormat="1" ht="90">
      <c r="A1" s="10" t="s">
        <v>95</v>
      </c>
    </row>
    <row r="2" ht="15">
      <c r="A2" s="6" t="s">
        <v>4</v>
      </c>
    </row>
    <row r="3" spans="2:20" ht="28.5">
      <c r="B3" s="2" t="s">
        <v>5</v>
      </c>
      <c r="C3" s="27">
        <v>1000</v>
      </c>
      <c r="R3" s="2" t="s">
        <v>2</v>
      </c>
      <c r="S3" s="2" t="s">
        <v>3</v>
      </c>
      <c r="T3" s="1" t="s">
        <v>1</v>
      </c>
    </row>
    <row r="4" spans="2:20" ht="15">
      <c r="B4" s="1" t="s">
        <v>6</v>
      </c>
      <c r="C4" s="66">
        <f>Standards!B4</f>
        <v>12.1</v>
      </c>
      <c r="R4" s="3" t="e">
        <f>C20*#REF!/100</f>
        <v>#REF!</v>
      </c>
      <c r="S4" s="3"/>
      <c r="T4" s="1" t="e">
        <f>C19*#REF!/100</f>
        <v>#REF!</v>
      </c>
    </row>
    <row r="5" spans="2:3" ht="15">
      <c r="B5" s="1" t="s">
        <v>7</v>
      </c>
      <c r="C5" s="66">
        <f>100*Standards!C4</f>
        <v>70</v>
      </c>
    </row>
    <row r="6" spans="2:3" ht="15">
      <c r="B6" s="1" t="s">
        <v>8</v>
      </c>
      <c r="C6" s="66">
        <f>Standards!F4</f>
        <v>365</v>
      </c>
    </row>
    <row r="7" spans="2:3" ht="28.5">
      <c r="B7" s="2" t="s">
        <v>9</v>
      </c>
      <c r="C7" s="66">
        <f>Standards!G4</f>
        <v>0</v>
      </c>
    </row>
    <row r="8" ht="15"/>
    <row r="9" ht="15">
      <c r="A9" s="6" t="s">
        <v>10</v>
      </c>
    </row>
    <row r="10" spans="1:3" ht="15">
      <c r="A10" s="38" t="s">
        <v>127</v>
      </c>
      <c r="B10" s="1" t="s">
        <v>75</v>
      </c>
      <c r="C10" s="67">
        <f>Number_of_livestock*N_Excretion*(365-Housed_period__days)/365*(100-excreta_on_yards)/100</f>
        <v>0</v>
      </c>
    </row>
    <row r="11" spans="1:3" ht="15">
      <c r="A11" s="38" t="s">
        <v>128</v>
      </c>
      <c r="B11" s="1" t="s">
        <v>76</v>
      </c>
      <c r="C11" s="67">
        <f>Number_of_livestock*N_Excretion*excreta_on_yards/100</f>
        <v>0</v>
      </c>
    </row>
    <row r="12" spans="1:3" ht="15">
      <c r="A12" s="38" t="s">
        <v>58</v>
      </c>
      <c r="B12" s="1" t="s">
        <v>77</v>
      </c>
      <c r="C12" s="67">
        <f>C3*C4*(C6/365)*(100-C7)/100</f>
        <v>12100</v>
      </c>
    </row>
    <row r="13" spans="1:3" ht="15">
      <c r="A13" s="2" t="s">
        <v>33</v>
      </c>
      <c r="C13" s="67">
        <f>m_yard+m_graz+m_hous</f>
        <v>12100</v>
      </c>
    </row>
    <row r="14" spans="1:3" ht="15">
      <c r="A14" s="40" t="s">
        <v>0</v>
      </c>
      <c r="B14" s="40"/>
      <c r="C14" s="32">
        <f>(C3*C4)-C13</f>
        <v>0</v>
      </c>
    </row>
    <row r="15" ht="15"/>
    <row r="16" spans="1:8" s="14" customFormat="1" ht="90">
      <c r="A16" s="10" t="s">
        <v>34</v>
      </c>
      <c r="H16" s="11"/>
    </row>
    <row r="17" ht="15">
      <c r="A17" s="6" t="s">
        <v>4</v>
      </c>
    </row>
    <row r="18" spans="1:5" ht="15">
      <c r="A18" s="39" t="s">
        <v>59</v>
      </c>
      <c r="B18" s="1" t="s">
        <v>78</v>
      </c>
      <c r="C18" s="67">
        <f>C10*$C$5/100</f>
        <v>0</v>
      </c>
      <c r="D18" s="1" t="s">
        <v>75</v>
      </c>
      <c r="E18" s="67">
        <f>m_graz</f>
        <v>0</v>
      </c>
    </row>
    <row r="19" spans="1:5" ht="15">
      <c r="A19" s="39" t="s">
        <v>12</v>
      </c>
      <c r="B19" s="1" t="s">
        <v>79</v>
      </c>
      <c r="C19" s="67">
        <f>C11*$C$5/100</f>
        <v>0</v>
      </c>
      <c r="D19" s="1" t="s">
        <v>76</v>
      </c>
      <c r="E19" s="67">
        <f>m_yard</f>
        <v>0</v>
      </c>
    </row>
    <row r="20" spans="1:5" ht="15">
      <c r="A20" s="39" t="s">
        <v>13</v>
      </c>
      <c r="B20" s="1" t="s">
        <v>80</v>
      </c>
      <c r="C20" s="67">
        <f>C12*$C$5/100</f>
        <v>8470</v>
      </c>
      <c r="D20" s="1" t="s">
        <v>77</v>
      </c>
      <c r="E20" s="67">
        <f>m_hous</f>
        <v>12100</v>
      </c>
    </row>
    <row r="21" spans="1:5" ht="15">
      <c r="A21" s="2" t="s">
        <v>33</v>
      </c>
      <c r="C21" s="67">
        <f>C19+C18+C20</f>
        <v>8470</v>
      </c>
      <c r="D21" s="4"/>
      <c r="E21" s="67">
        <f>E19+E18+E20</f>
        <v>12100</v>
      </c>
    </row>
    <row r="22" spans="1:5" ht="15">
      <c r="A22" s="40" t="s">
        <v>0</v>
      </c>
      <c r="C22" s="32">
        <f>(C13*C5/100)-C21</f>
        <v>0</v>
      </c>
      <c r="D22" s="35"/>
      <c r="E22" s="32">
        <f>C13-E21</f>
        <v>0</v>
      </c>
    </row>
    <row r="23" ht="15"/>
    <row r="24" ht="15"/>
    <row r="25" spans="1:14" s="14" customFormat="1" ht="75">
      <c r="A25" s="10" t="s">
        <v>11</v>
      </c>
      <c r="H25" s="51"/>
      <c r="I25" s="52"/>
      <c r="J25" s="52"/>
      <c r="K25" s="52"/>
      <c r="L25" s="52"/>
      <c r="M25" s="52"/>
      <c r="N25" s="52"/>
    </row>
    <row r="26" spans="1:14" ht="15">
      <c r="A26" s="6" t="s">
        <v>4</v>
      </c>
      <c r="H26" s="53"/>
      <c r="I26" s="53"/>
      <c r="J26" s="53"/>
      <c r="K26" s="54"/>
      <c r="L26" s="53"/>
      <c r="M26" s="54"/>
      <c r="N26" s="55"/>
    </row>
    <row r="27" spans="2:14" ht="57">
      <c r="B27" s="2" t="s">
        <v>35</v>
      </c>
      <c r="C27" s="28">
        <v>90</v>
      </c>
      <c r="H27" s="51"/>
      <c r="I27" s="56"/>
      <c r="J27" s="55"/>
      <c r="K27" s="55"/>
      <c r="L27" s="55"/>
      <c r="M27" s="35"/>
      <c r="N27" s="57"/>
    </row>
    <row r="28" spans="2:14" ht="57">
      <c r="B28" s="2" t="s">
        <v>27</v>
      </c>
      <c r="C28" s="35">
        <f>100-C27</f>
        <v>10</v>
      </c>
      <c r="H28" s="51"/>
      <c r="I28" s="56"/>
      <c r="J28" s="55"/>
      <c r="K28" s="55"/>
      <c r="L28" s="55"/>
      <c r="M28" s="35"/>
      <c r="N28" s="57"/>
    </row>
    <row r="29" spans="8:14" ht="15">
      <c r="H29" s="58"/>
      <c r="I29" s="56"/>
      <c r="J29" s="55"/>
      <c r="K29" s="55"/>
      <c r="L29" s="55"/>
      <c r="M29" s="35"/>
      <c r="N29" s="57"/>
    </row>
    <row r="30" spans="1:14" ht="15">
      <c r="A30" s="6" t="s">
        <v>10</v>
      </c>
      <c r="H30" s="58"/>
      <c r="I30" s="56"/>
      <c r="J30" s="59"/>
      <c r="K30" s="59"/>
      <c r="L30" s="56"/>
      <c r="M30" s="35"/>
      <c r="N30" s="57"/>
    </row>
    <row r="31" spans="1:14" ht="28.5">
      <c r="A31" s="38" t="s">
        <v>67</v>
      </c>
      <c r="B31" s="9" t="s">
        <v>130</v>
      </c>
      <c r="C31" s="37">
        <f>C20*C27/100</f>
        <v>7623</v>
      </c>
      <c r="D31" s="38" t="s">
        <v>68</v>
      </c>
      <c r="E31" s="9" t="s">
        <v>131</v>
      </c>
      <c r="F31" s="37">
        <f>E20*C27/100</f>
        <v>10890</v>
      </c>
      <c r="H31" s="58"/>
      <c r="I31" s="56"/>
      <c r="J31" s="59"/>
      <c r="K31" s="59"/>
      <c r="L31" s="56"/>
      <c r="M31" s="56"/>
      <c r="N31" s="57"/>
    </row>
    <row r="32" spans="1:14" ht="28.5">
      <c r="A32" s="38" t="s">
        <v>134</v>
      </c>
      <c r="B32" s="9" t="s">
        <v>132</v>
      </c>
      <c r="C32" s="37">
        <f>C20*C28/100</f>
        <v>847</v>
      </c>
      <c r="D32" s="38" t="s">
        <v>135</v>
      </c>
      <c r="E32" s="9" t="s">
        <v>133</v>
      </c>
      <c r="F32" s="37">
        <f>E20*C28/100</f>
        <v>1210</v>
      </c>
      <c r="H32" s="58"/>
      <c r="I32" s="56"/>
      <c r="J32" s="55"/>
      <c r="K32" s="55"/>
      <c r="L32" s="55"/>
      <c r="M32" s="35"/>
      <c r="N32" s="57"/>
    </row>
    <row r="33" spans="1:14" ht="15">
      <c r="A33" s="2" t="s">
        <v>33</v>
      </c>
      <c r="B33" s="4"/>
      <c r="C33" s="48">
        <f>C32+C31</f>
        <v>8470</v>
      </c>
      <c r="D33" s="4" t="s">
        <v>93</v>
      </c>
      <c r="F33" s="48">
        <f>F32+F31</f>
        <v>12100</v>
      </c>
      <c r="H33" s="58"/>
      <c r="I33" s="56"/>
      <c r="J33" s="55"/>
      <c r="K33" s="55"/>
      <c r="L33" s="55"/>
      <c r="M33" s="35"/>
      <c r="N33" s="57"/>
    </row>
    <row r="34" spans="1:14" ht="15">
      <c r="A34" s="40" t="s">
        <v>0</v>
      </c>
      <c r="C34" s="32">
        <f>C20-C33</f>
        <v>0</v>
      </c>
      <c r="D34" s="23"/>
      <c r="E34" s="23"/>
      <c r="F34" s="32">
        <f>E20-F33</f>
        <v>0</v>
      </c>
      <c r="H34" s="58"/>
      <c r="I34" s="56"/>
      <c r="J34" s="55"/>
      <c r="K34" s="55"/>
      <c r="L34" s="55"/>
      <c r="M34" s="35"/>
      <c r="N34" s="57"/>
    </row>
    <row r="35" spans="1:14" ht="15">
      <c r="A35" s="18"/>
      <c r="H35" s="58"/>
      <c r="I35" s="56"/>
      <c r="J35" s="55"/>
      <c r="K35" s="55"/>
      <c r="L35" s="55"/>
      <c r="M35" s="35"/>
      <c r="N35" s="57"/>
    </row>
    <row r="36" spans="8:14" ht="15">
      <c r="H36" s="58"/>
      <c r="I36" s="56"/>
      <c r="J36" s="55"/>
      <c r="K36" s="55"/>
      <c r="L36" s="55"/>
      <c r="M36" s="35"/>
      <c r="N36" s="35"/>
    </row>
    <row r="37" spans="1:14" s="14" customFormat="1" ht="45">
      <c r="A37" s="10" t="s">
        <v>14</v>
      </c>
      <c r="H37" s="51"/>
      <c r="I37" s="60"/>
      <c r="J37" s="61"/>
      <c r="K37" s="61"/>
      <c r="L37" s="62"/>
      <c r="M37" s="62"/>
      <c r="N37" s="62"/>
    </row>
    <row r="38" spans="1:14" s="14" customFormat="1" ht="15">
      <c r="A38" s="10"/>
      <c r="H38" s="51"/>
      <c r="I38" s="60"/>
      <c r="J38" s="61"/>
      <c r="K38" s="61"/>
      <c r="L38" s="62"/>
      <c r="M38" s="62"/>
      <c r="N38" s="62"/>
    </row>
    <row r="39" spans="1:14" ht="15">
      <c r="A39" s="6" t="s">
        <v>10</v>
      </c>
      <c r="H39" s="58"/>
      <c r="I39" s="35"/>
      <c r="J39" s="35"/>
      <c r="K39" s="35"/>
      <c r="L39" s="35"/>
      <c r="M39" s="35"/>
      <c r="N39" s="65"/>
    </row>
    <row r="40" spans="1:14" ht="18.75">
      <c r="A40" s="38" t="s">
        <v>20</v>
      </c>
      <c r="B40" s="9" t="s">
        <v>136</v>
      </c>
      <c r="C40" s="68">
        <f>C31*Standards!I2</f>
        <v>1524.6000000000001</v>
      </c>
      <c r="H40" s="58"/>
      <c r="I40" s="35"/>
      <c r="J40" s="35"/>
      <c r="K40" s="35"/>
      <c r="L40" s="35"/>
      <c r="M40" s="35"/>
      <c r="N40" s="35"/>
    </row>
    <row r="41" spans="1:3" ht="18.75">
      <c r="A41" s="38" t="s">
        <v>22</v>
      </c>
      <c r="B41" s="9" t="s">
        <v>137</v>
      </c>
      <c r="C41" s="68">
        <f>C32*Standards!J2</f>
        <v>160.93</v>
      </c>
    </row>
    <row r="42" spans="1:3" ht="18.75">
      <c r="A42" s="38" t="s">
        <v>23</v>
      </c>
      <c r="B42" s="9" t="s">
        <v>138</v>
      </c>
      <c r="C42" s="68">
        <f>C19*Standards!K2</f>
        <v>0</v>
      </c>
    </row>
    <row r="43" ht="15">
      <c r="C43" s="4"/>
    </row>
    <row r="44" ht="15"/>
    <row r="45" ht="60">
      <c r="A45" s="10" t="s">
        <v>72</v>
      </c>
    </row>
    <row r="46" ht="15">
      <c r="A46" s="6" t="s">
        <v>4</v>
      </c>
    </row>
    <row r="47" spans="2:3" ht="28.5">
      <c r="B47" s="2" t="s">
        <v>129</v>
      </c>
      <c r="C47" s="66">
        <f>Number_of_livestock*Standards!E4*C28/100</f>
        <v>80</v>
      </c>
    </row>
    <row r="48" spans="2:3" ht="18">
      <c r="B48" s="8" t="s">
        <v>99</v>
      </c>
      <c r="C48" s="66">
        <f>Number_of_livestock*Standards!E2*C28/100</f>
        <v>600</v>
      </c>
    </row>
    <row r="49" spans="2:3" ht="18.75">
      <c r="B49" s="9" t="s">
        <v>21</v>
      </c>
      <c r="C49" s="49">
        <v>0.0067</v>
      </c>
    </row>
    <row r="50" ht="15">
      <c r="B50" s="9"/>
    </row>
    <row r="51" spans="1:2" ht="15">
      <c r="A51" s="6" t="s">
        <v>10</v>
      </c>
      <c r="B51" s="9"/>
    </row>
    <row r="52" spans="1:3" ht="18.75">
      <c r="A52" s="38" t="s">
        <v>24</v>
      </c>
      <c r="B52" s="9" t="s">
        <v>175</v>
      </c>
      <c r="C52" s="37">
        <f>C32-(C41+(C47*C49))</f>
        <v>685.534</v>
      </c>
    </row>
    <row r="53" spans="1:3" ht="18.75">
      <c r="A53" s="39" t="s">
        <v>25</v>
      </c>
      <c r="B53" s="9" t="s">
        <v>174</v>
      </c>
      <c r="C53" s="37">
        <f>F32-C41+C48</f>
        <v>1649.07</v>
      </c>
    </row>
    <row r="54" spans="1:5" ht="15">
      <c r="A54" s="20" t="s">
        <v>0</v>
      </c>
      <c r="C54" s="24">
        <f>(C48+C12*C28/100)-(C41+C53)</f>
        <v>0</v>
      </c>
      <c r="D54" s="42">
        <f>C52*100/C53</f>
        <v>41.57094604837878</v>
      </c>
      <c r="E54" s="41" t="s">
        <v>94</v>
      </c>
    </row>
    <row r="55" ht="15">
      <c r="A55" s="1"/>
    </row>
    <row r="56" spans="1:7" ht="15">
      <c r="A56" s="1"/>
      <c r="E56" s="9"/>
      <c r="F56" s="4"/>
      <c r="G56" s="29"/>
    </row>
    <row r="57" spans="2:7" ht="15">
      <c r="B57" s="9"/>
      <c r="C57" s="26"/>
      <c r="G57" s="30"/>
    </row>
    <row r="58" spans="1:7" ht="60">
      <c r="A58" s="5" t="s">
        <v>73</v>
      </c>
      <c r="B58" s="9"/>
      <c r="C58" s="26"/>
      <c r="G58" s="29"/>
    </row>
    <row r="59" spans="2:7" ht="18.75">
      <c r="B59" s="9" t="s">
        <v>100</v>
      </c>
      <c r="C59" s="28">
        <v>1</v>
      </c>
      <c r="G59" s="29"/>
    </row>
    <row r="60" spans="2:7" ht="18.75">
      <c r="B60" s="9" t="s">
        <v>101</v>
      </c>
      <c r="C60" s="28">
        <v>0.5</v>
      </c>
      <c r="G60" s="29"/>
    </row>
    <row r="61" spans="1:7" ht="15">
      <c r="A61" s="6" t="s">
        <v>10</v>
      </c>
      <c r="B61" s="31"/>
      <c r="C61" s="35"/>
      <c r="G61" s="29"/>
    </row>
    <row r="62" spans="1:7" ht="18.75">
      <c r="A62" s="38" t="s">
        <v>60</v>
      </c>
      <c r="B62" s="9" t="s">
        <v>81</v>
      </c>
      <c r="C62" s="37">
        <f>((C31+C19)-(C40+C42))*C59</f>
        <v>6098.4</v>
      </c>
      <c r="G62" s="29"/>
    </row>
    <row r="63" spans="1:7" ht="18.75">
      <c r="A63" s="39" t="s">
        <v>61</v>
      </c>
      <c r="B63" s="9" t="s">
        <v>26</v>
      </c>
      <c r="C63" s="37">
        <f>((F31-C40)+(E19-C42))*C59</f>
        <v>9365.4</v>
      </c>
      <c r="G63" s="29"/>
    </row>
    <row r="64" spans="1:7" ht="18.75">
      <c r="A64" s="38" t="s">
        <v>69</v>
      </c>
      <c r="B64" s="9" t="s">
        <v>139</v>
      </c>
      <c r="C64" s="37">
        <f>C52*C60</f>
        <v>342.767</v>
      </c>
      <c r="G64" s="29"/>
    </row>
    <row r="65" spans="1:7" ht="18.75">
      <c r="A65" s="39" t="s">
        <v>70</v>
      </c>
      <c r="B65" s="9" t="s">
        <v>140</v>
      </c>
      <c r="C65" s="37">
        <f>C53*C60</f>
        <v>824.535</v>
      </c>
      <c r="G65" s="29"/>
    </row>
    <row r="66" spans="1:7" ht="15">
      <c r="A66" s="35"/>
      <c r="B66" s="9"/>
      <c r="C66" s="37"/>
      <c r="G66" s="29"/>
    </row>
    <row r="67" spans="1:7" ht="57">
      <c r="A67" s="31" t="s">
        <v>102</v>
      </c>
      <c r="B67" s="9"/>
      <c r="C67" s="37"/>
      <c r="G67" s="29"/>
    </row>
    <row r="68" spans="1:7" ht="18.75">
      <c r="A68" s="38" t="s">
        <v>62</v>
      </c>
      <c r="B68" s="9" t="s">
        <v>141</v>
      </c>
      <c r="C68" s="37">
        <f>((C31+C19)-(C40+C42))*(1-C59)</f>
        <v>0</v>
      </c>
      <c r="G68" s="29"/>
    </row>
    <row r="69" spans="1:7" ht="18.75">
      <c r="A69" s="39" t="s">
        <v>28</v>
      </c>
      <c r="B69" s="9" t="s">
        <v>142</v>
      </c>
      <c r="C69" s="37">
        <f>((F31-C40)+(E19-C42))*(1-C59)</f>
        <v>0</v>
      </c>
      <c r="G69" s="29"/>
    </row>
    <row r="70" spans="1:7" ht="18.75">
      <c r="A70" s="38" t="s">
        <v>37</v>
      </c>
      <c r="B70" s="9" t="s">
        <v>143</v>
      </c>
      <c r="C70" s="37">
        <f>C52*(1-C60)</f>
        <v>342.767</v>
      </c>
      <c r="G70" s="29"/>
    </row>
    <row r="71" spans="1:7" ht="18.75">
      <c r="A71" s="39" t="s">
        <v>83</v>
      </c>
      <c r="B71" s="9" t="s">
        <v>144</v>
      </c>
      <c r="C71" s="37">
        <f>C53*(1-C60)</f>
        <v>824.535</v>
      </c>
      <c r="G71" s="29"/>
    </row>
    <row r="72" spans="1:7" ht="15">
      <c r="A72" s="35"/>
      <c r="B72" s="9"/>
      <c r="C72" s="37"/>
      <c r="G72" s="29"/>
    </row>
    <row r="73" ht="15"/>
    <row r="74" spans="1:8" s="14" customFormat="1" ht="60">
      <c r="A74" s="10" t="s">
        <v>74</v>
      </c>
      <c r="H74" s="11"/>
    </row>
    <row r="75" ht="15">
      <c r="A75" s="6" t="s">
        <v>4</v>
      </c>
    </row>
    <row r="76" spans="2:3" ht="18.75">
      <c r="B76" s="1" t="s">
        <v>103</v>
      </c>
      <c r="C76" s="49">
        <v>0.1</v>
      </c>
    </row>
    <row r="77" ht="15"/>
    <row r="78" spans="1:7" ht="15">
      <c r="A78" s="6" t="s">
        <v>10</v>
      </c>
      <c r="G78" s="20"/>
    </row>
    <row r="79" spans="1:3" ht="18.75">
      <c r="A79" s="38" t="s">
        <v>82</v>
      </c>
      <c r="B79" s="9" t="s">
        <v>145</v>
      </c>
      <c r="C79" s="50">
        <f>C62+((C63-C62)*C76)</f>
        <v>6425.099999999999</v>
      </c>
    </row>
    <row r="80" spans="2:3" ht="15">
      <c r="B80" s="9"/>
      <c r="C80" s="4"/>
    </row>
    <row r="81" spans="1:8" s="14" customFormat="1" ht="30">
      <c r="A81" s="10" t="s">
        <v>88</v>
      </c>
      <c r="B81" s="12"/>
      <c r="C81" s="13"/>
      <c r="E81" s="12"/>
      <c r="F81" s="13"/>
      <c r="H81" s="11"/>
    </row>
    <row r="82" ht="15"/>
    <row r="83" ht="15">
      <c r="A83" s="6" t="s">
        <v>10</v>
      </c>
    </row>
    <row r="84" spans="1:3" ht="18.75">
      <c r="A84" s="38" t="s">
        <v>71</v>
      </c>
      <c r="B84" s="9" t="s">
        <v>117</v>
      </c>
      <c r="C84" s="69">
        <f>$C$79*Standards!L4</f>
        <v>899.514</v>
      </c>
    </row>
    <row r="85" spans="1:3" ht="18.75">
      <c r="A85" s="38" t="s">
        <v>71</v>
      </c>
      <c r="B85" s="9" t="s">
        <v>116</v>
      </c>
      <c r="C85" s="69">
        <f>$C$79*Standards!N4</f>
        <v>0</v>
      </c>
    </row>
    <row r="86" spans="1:3" ht="18.75">
      <c r="A86" s="38" t="s">
        <v>71</v>
      </c>
      <c r="B86" s="9" t="s">
        <v>118</v>
      </c>
      <c r="C86" s="69">
        <f>$C$79*Standards!P4</f>
        <v>0.64251</v>
      </c>
    </row>
    <row r="87" spans="1:3" ht="18.75">
      <c r="A87" s="38" t="s">
        <v>71</v>
      </c>
      <c r="B87" s="9" t="s">
        <v>119</v>
      </c>
      <c r="C87" s="69">
        <f>$C$79*Standards!R4</f>
        <v>19.275299999999998</v>
      </c>
    </row>
    <row r="88" spans="1:3" ht="18.75">
      <c r="A88" s="38" t="s">
        <v>84</v>
      </c>
      <c r="B88" s="9" t="s">
        <v>122</v>
      </c>
      <c r="C88" s="69">
        <f>$C$64*Standards!M4</f>
        <v>154.24515</v>
      </c>
    </row>
    <row r="89" spans="1:3" ht="18.75">
      <c r="A89" s="38" t="s">
        <v>84</v>
      </c>
      <c r="B89" s="9" t="s">
        <v>123</v>
      </c>
      <c r="C89" s="69">
        <f>$C$64*Standards!O4</f>
        <v>17.13835</v>
      </c>
    </row>
    <row r="90" spans="1:3" ht="18.75">
      <c r="A90" s="38" t="s">
        <v>84</v>
      </c>
      <c r="B90" s="9" t="s">
        <v>124</v>
      </c>
      <c r="C90" s="69">
        <f>$C$64*Standards!Q4</f>
        <v>2.742136</v>
      </c>
    </row>
    <row r="91" spans="1:3" ht="18.75">
      <c r="A91" s="38" t="s">
        <v>84</v>
      </c>
      <c r="B91" s="9" t="s">
        <v>125</v>
      </c>
      <c r="C91" s="69">
        <f>$C$64*Standards!S4</f>
        <v>102.8301</v>
      </c>
    </row>
    <row r="92" ht="15"/>
    <row r="93" ht="15"/>
    <row r="94" ht="45">
      <c r="A94" s="5" t="s">
        <v>89</v>
      </c>
    </row>
    <row r="95" spans="1:7" ht="15">
      <c r="A95" s="6" t="s">
        <v>10</v>
      </c>
      <c r="D95" s="43" t="s">
        <v>94</v>
      </c>
      <c r="F95" s="35"/>
      <c r="G95" s="43" t="s">
        <v>94</v>
      </c>
    </row>
    <row r="96" spans="1:7" ht="18.75">
      <c r="A96" s="38" t="s">
        <v>85</v>
      </c>
      <c r="B96" s="9" t="s">
        <v>147</v>
      </c>
      <c r="C96" s="26">
        <f>(C68+C79)-(C84+C85+C86+C87)</f>
        <v>5505.668189999999</v>
      </c>
      <c r="D96" s="44">
        <f>C96*100/C97</f>
        <v>65.18693968701768</v>
      </c>
      <c r="F96" s="37">
        <f>(C31+C19+((C63-C62)*C76))-(C40+C42+C84+C85+C86+C87)</f>
        <v>5505.66819</v>
      </c>
      <c r="G96" s="44">
        <f>F96*100/F97</f>
        <v>65.1869396870177</v>
      </c>
    </row>
    <row r="97" spans="1:7" ht="18.75">
      <c r="A97" s="39" t="s">
        <v>149</v>
      </c>
      <c r="B97" s="9" t="s">
        <v>148</v>
      </c>
      <c r="C97" s="26">
        <f>(C69+C63)-(C84+C85+C86+C87)</f>
        <v>8445.96819</v>
      </c>
      <c r="D97" s="45"/>
      <c r="E97" s="9"/>
      <c r="F97" s="37">
        <f>(F31+E19)-(C40+C42+C84+C85+C86+C87)</f>
        <v>8445.96819</v>
      </c>
      <c r="G97" s="44"/>
    </row>
    <row r="98" spans="1:3" ht="28.5">
      <c r="A98" s="38" t="s">
        <v>184</v>
      </c>
      <c r="B98" s="9" t="s">
        <v>126</v>
      </c>
      <c r="C98" s="69">
        <f>$C$64*Standards!T2</f>
        <v>0</v>
      </c>
    </row>
    <row r="99" spans="1:7" ht="18.75">
      <c r="A99" s="38" t="s">
        <v>146</v>
      </c>
      <c r="B99" s="9" t="s">
        <v>150</v>
      </c>
      <c r="C99" s="26">
        <f>(C64+C70)-(C88+C89+C90+C91+C98)</f>
        <v>408.578264</v>
      </c>
      <c r="D99" s="44">
        <f>C99*100/C100</f>
        <v>29.77727691634871</v>
      </c>
      <c r="F99" s="26">
        <f>C52-(C88+C89+C90+C91+C98)</f>
        <v>408.578264</v>
      </c>
      <c r="G99" s="46">
        <f>F99*100/(F100)</f>
        <v>29.77727691634871</v>
      </c>
    </row>
    <row r="100" spans="1:7" ht="18.75">
      <c r="A100" s="39" t="s">
        <v>151</v>
      </c>
      <c r="B100" s="9" t="s">
        <v>185</v>
      </c>
      <c r="C100" s="26">
        <f>(C65+C71)-(C88+C89+C90+C91+C98)</f>
        <v>1372.1142639999998</v>
      </c>
      <c r="E100" s="9"/>
      <c r="F100" s="26">
        <f>C53-(C88+C89+C90+C91+C98)</f>
        <v>1372.1142639999998</v>
      </c>
      <c r="G100" s="16"/>
    </row>
    <row r="101" spans="1:8" s="24" customFormat="1" ht="15">
      <c r="A101" s="47" t="s">
        <v>0</v>
      </c>
      <c r="B101" s="22" t="s">
        <v>36</v>
      </c>
      <c r="C101" s="32">
        <f>((C79+(((C19+C31)-(C40+C42))*(1-C59)))-(C84+C85+C86+C87))-F96</f>
        <v>0</v>
      </c>
      <c r="D101" s="32"/>
      <c r="E101" s="33"/>
      <c r="F101" s="32">
        <f>((E19+(E20*C27/100))-(C40+C42+C84+C85+C86+C87))-F97</f>
        <v>0</v>
      </c>
      <c r="G101" s="23"/>
      <c r="H101" s="21"/>
    </row>
    <row r="102" spans="1:8" s="15" customFormat="1" ht="15">
      <c r="A102" s="18"/>
      <c r="B102" s="25" t="s">
        <v>167</v>
      </c>
      <c r="C102" s="32">
        <f>(C32-((C47*C49)+C41+C88+C89+C90+C91+C98))-F99</f>
        <v>0</v>
      </c>
      <c r="D102" s="29"/>
      <c r="E102" s="29"/>
      <c r="F102" s="32">
        <f>(F32+C48)-(C41+C88+C89+C90+C91+C98)-F100</f>
        <v>0</v>
      </c>
      <c r="H102" s="18"/>
    </row>
    <row r="103" ht="15"/>
    <row r="104" ht="45">
      <c r="A104" s="5" t="s">
        <v>90</v>
      </c>
    </row>
    <row r="105" ht="15"/>
    <row r="106" ht="15">
      <c r="A106" s="6" t="s">
        <v>10</v>
      </c>
    </row>
    <row r="107" spans="1:3" ht="19.5">
      <c r="A107" s="39" t="s">
        <v>86</v>
      </c>
      <c r="B107" s="17" t="s">
        <v>152</v>
      </c>
      <c r="C107" s="70">
        <f>F96*Standards!U2</f>
        <v>3028.1175045000005</v>
      </c>
    </row>
    <row r="108" spans="1:3" ht="19.5">
      <c r="A108" s="39" t="s">
        <v>87</v>
      </c>
      <c r="B108" s="17" t="s">
        <v>153</v>
      </c>
      <c r="C108" s="70">
        <f>F99*Standards!V2</f>
        <v>322.77682856</v>
      </c>
    </row>
    <row r="109" ht="15">
      <c r="A109" s="1"/>
    </row>
    <row r="110" ht="15"/>
    <row r="111" ht="60">
      <c r="A111" s="19" t="s">
        <v>92</v>
      </c>
    </row>
    <row r="112" ht="15">
      <c r="A112" s="6" t="s">
        <v>10</v>
      </c>
    </row>
    <row r="113" ht="15"/>
    <row r="114" spans="1:3" ht="18.75">
      <c r="A114" s="38" t="s">
        <v>120</v>
      </c>
      <c r="B114" s="9" t="s">
        <v>154</v>
      </c>
      <c r="C114" s="4">
        <f>F96-C107</f>
        <v>2477.5506855</v>
      </c>
    </row>
    <row r="115" spans="1:6" ht="18.75">
      <c r="A115" s="39" t="s">
        <v>121</v>
      </c>
      <c r="B115" s="9" t="s">
        <v>155</v>
      </c>
      <c r="C115" s="48">
        <f>F97-C107</f>
        <v>5417.8506855</v>
      </c>
      <c r="E115" s="9"/>
      <c r="F115" s="4"/>
    </row>
    <row r="116" spans="1:3" ht="18.75">
      <c r="A116" s="38" t="s">
        <v>158</v>
      </c>
      <c r="B116" s="9" t="s">
        <v>156</v>
      </c>
      <c r="C116" s="48">
        <f>F99-C108</f>
        <v>85.80143543999998</v>
      </c>
    </row>
    <row r="117" spans="1:3" ht="18.75">
      <c r="A117" s="39" t="s">
        <v>159</v>
      </c>
      <c r="B117" s="9" t="s">
        <v>157</v>
      </c>
      <c r="C117" s="48">
        <f>F100-C108</f>
        <v>1049.3374354399998</v>
      </c>
    </row>
    <row r="118" ht="15"/>
    <row r="119" ht="45">
      <c r="A119" s="5" t="s">
        <v>91</v>
      </c>
    </row>
    <row r="120" ht="15">
      <c r="A120" s="6" t="s">
        <v>10</v>
      </c>
    </row>
    <row r="121" spans="1:3" ht="18.75">
      <c r="A121" s="38" t="s">
        <v>160</v>
      </c>
      <c r="B121" s="9" t="s">
        <v>162</v>
      </c>
      <c r="C121" s="71">
        <f>C18*Standards!W2</f>
        <v>0</v>
      </c>
    </row>
    <row r="122" spans="1:6" ht="28.5">
      <c r="A122" s="2" t="s">
        <v>163</v>
      </c>
      <c r="B122" s="1" t="s">
        <v>38</v>
      </c>
      <c r="C122" s="4">
        <f>C18-C121</f>
        <v>0</v>
      </c>
      <c r="E122" s="1" t="s">
        <v>39</v>
      </c>
      <c r="F122" s="48">
        <f>E18-C121</f>
        <v>0</v>
      </c>
    </row>
    <row r="123" spans="1:8" s="20" customFormat="1" ht="15">
      <c r="A123" s="40" t="s">
        <v>0</v>
      </c>
      <c r="C123" s="34">
        <f>C18-C122-C121</f>
        <v>0</v>
      </c>
      <c r="D123" s="34"/>
      <c r="E123" s="34"/>
      <c r="F123" s="32">
        <f>(E18-C121)-F122</f>
        <v>0</v>
      </c>
      <c r="H123" s="18"/>
    </row>
    <row r="124" ht="15"/>
    <row r="125" spans="1:3" ht="15">
      <c r="A125" s="1" t="s">
        <v>165</v>
      </c>
      <c r="C125" s="3">
        <f>C13+C48</f>
        <v>12700</v>
      </c>
    </row>
    <row r="126" spans="1:3" ht="15">
      <c r="A126" s="1" t="s">
        <v>166</v>
      </c>
      <c r="C126" s="3">
        <f>(C40+C41+C42+C84+C85+C86+C87+C88+C89+C90+C91+C98+C107+C108+C121)+(C115+C117+F122)</f>
        <v>12700</v>
      </c>
    </row>
    <row r="127" spans="1:3" ht="15">
      <c r="A127" s="40" t="s">
        <v>164</v>
      </c>
      <c r="C127" s="34">
        <f>C125-C126</f>
        <v>0</v>
      </c>
    </row>
    <row r="128" ht="15">
      <c r="C128" s="3"/>
    </row>
    <row r="129" ht="15">
      <c r="C129" s="3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24.140625" style="72" customWidth="1"/>
    <col min="2" max="5" width="9.140625" style="72" customWidth="1"/>
    <col min="6" max="6" width="11.00390625" style="72" customWidth="1"/>
    <col min="7" max="7" width="9.140625" style="72" customWidth="1"/>
  </cols>
  <sheetData>
    <row r="1" spans="1:7" ht="15">
      <c r="A1" s="51" t="s">
        <v>15</v>
      </c>
      <c r="B1" s="52"/>
      <c r="C1" s="52"/>
      <c r="D1" s="52"/>
      <c r="E1" s="52"/>
      <c r="F1" s="52"/>
      <c r="G1" s="52"/>
    </row>
    <row r="2" spans="1:7" ht="15">
      <c r="A2" s="51"/>
      <c r="B2" s="73" t="s">
        <v>169</v>
      </c>
      <c r="C2" s="73"/>
      <c r="D2" s="73"/>
      <c r="E2" s="73"/>
      <c r="F2" s="52"/>
      <c r="G2" s="52"/>
    </row>
    <row r="3" spans="1:7" ht="37.5">
      <c r="A3" s="53" t="s">
        <v>16</v>
      </c>
      <c r="B3" s="53" t="s">
        <v>63</v>
      </c>
      <c r="C3" s="53" t="s">
        <v>65</v>
      </c>
      <c r="D3" s="54" t="s">
        <v>64</v>
      </c>
      <c r="E3" s="53" t="s">
        <v>66</v>
      </c>
      <c r="F3" s="53" t="s">
        <v>168</v>
      </c>
      <c r="G3" s="55"/>
    </row>
    <row r="4" spans="1:7" ht="36" customHeight="1">
      <c r="A4" s="51" t="s">
        <v>17</v>
      </c>
      <c r="B4" s="56">
        <f>'Finishing pig example'!C40*17/14</f>
        <v>1851.3</v>
      </c>
      <c r="C4" s="55"/>
      <c r="D4" s="55"/>
      <c r="E4" s="55"/>
      <c r="F4" s="35"/>
      <c r="G4" s="57"/>
    </row>
    <row r="5" spans="1:7" ht="36" customHeight="1">
      <c r="A5" s="51" t="s">
        <v>18</v>
      </c>
      <c r="B5" s="56">
        <f>'Finishing pig example'!C41*17/14</f>
        <v>195.415</v>
      </c>
      <c r="C5" s="55"/>
      <c r="D5" s="55"/>
      <c r="E5" s="55"/>
      <c r="F5" s="35"/>
      <c r="G5" s="57"/>
    </row>
    <row r="6" spans="1:7" ht="15">
      <c r="A6" s="58" t="s">
        <v>19</v>
      </c>
      <c r="B6" s="56">
        <f>'Finishing pig example'!C42*17/14</f>
        <v>0</v>
      </c>
      <c r="C6" s="55"/>
      <c r="D6" s="55"/>
      <c r="E6" s="55"/>
      <c r="F6" s="35"/>
      <c r="G6" s="57"/>
    </row>
    <row r="7" spans="1:7" ht="22.5" customHeight="1">
      <c r="A7" s="58" t="s">
        <v>29</v>
      </c>
      <c r="B7" s="56">
        <f>'Finishing pig example'!C84*17/14</f>
        <v>1092.267</v>
      </c>
      <c r="C7" s="59">
        <f>'Finishing pig example'!C85*44/28</f>
        <v>0</v>
      </c>
      <c r="D7" s="59">
        <f>'Finishing pig example'!C86*30/14</f>
        <v>1.376807142857143</v>
      </c>
      <c r="E7" s="56">
        <f>'Finishing pig example'!C87</f>
        <v>19.275299999999998</v>
      </c>
      <c r="F7" s="35"/>
      <c r="G7" s="57"/>
    </row>
    <row r="8" spans="1:7" ht="22.5" customHeight="1">
      <c r="A8" s="58" t="s">
        <v>30</v>
      </c>
      <c r="B8" s="56">
        <f>'Finishing pig example'!C88*17/14</f>
        <v>187.29768214285716</v>
      </c>
      <c r="C8" s="59">
        <f>'Finishing pig example'!C89*44/28</f>
        <v>26.931692857142856</v>
      </c>
      <c r="D8" s="59">
        <f>'Finishing pig example'!C90*30/14</f>
        <v>5.876005714285713</v>
      </c>
      <c r="E8" s="56">
        <f>'Finishing pig example'!C91</f>
        <v>102.8301</v>
      </c>
      <c r="F8" s="56">
        <f>'Finishing pig example'!C98*62/14</f>
        <v>0</v>
      </c>
      <c r="G8" s="57"/>
    </row>
    <row r="9" spans="1:7" ht="23.25" customHeight="1">
      <c r="A9" s="58" t="s">
        <v>31</v>
      </c>
      <c r="B9" s="56">
        <f>'Finishing pig example'!C107*17/14</f>
        <v>3676.9998268928575</v>
      </c>
      <c r="C9" s="55"/>
      <c r="D9" s="55"/>
      <c r="E9" s="55"/>
      <c r="F9" s="35"/>
      <c r="G9" s="57"/>
    </row>
    <row r="10" spans="1:7" ht="22.5" customHeight="1">
      <c r="A10" s="58" t="s">
        <v>170</v>
      </c>
      <c r="B10" s="56">
        <f>'Finishing pig example'!C108*17/14</f>
        <v>391.94329182285713</v>
      </c>
      <c r="C10" s="55"/>
      <c r="D10" s="55"/>
      <c r="E10" s="55"/>
      <c r="F10" s="35"/>
      <c r="G10" s="57"/>
    </row>
    <row r="11" spans="1:7" ht="15">
      <c r="A11" s="58" t="s">
        <v>32</v>
      </c>
      <c r="B11" s="56">
        <f>'Finishing pig example'!C121*17/14</f>
        <v>0</v>
      </c>
      <c r="C11" s="55"/>
      <c r="D11" s="55"/>
      <c r="E11" s="55"/>
      <c r="F11" s="35"/>
      <c r="G11" s="57"/>
    </row>
    <row r="12" spans="1:7" ht="15">
      <c r="A12" s="58"/>
      <c r="B12" s="56"/>
      <c r="C12" s="55"/>
      <c r="D12" s="55"/>
      <c r="E12" s="55"/>
      <c r="F12" s="35"/>
      <c r="G12" s="57"/>
    </row>
    <row r="13" spans="1:7" ht="15">
      <c r="A13" s="58"/>
      <c r="B13" s="56"/>
      <c r="C13" s="55"/>
      <c r="D13" s="55"/>
      <c r="E13" s="55"/>
      <c r="F13" s="35"/>
      <c r="G13" s="35"/>
    </row>
    <row r="14" spans="1:7" ht="15">
      <c r="A14" s="51" t="s">
        <v>33</v>
      </c>
      <c r="B14" s="60">
        <f>SUM(B4:B11)</f>
        <v>7395.222800858571</v>
      </c>
      <c r="C14" s="61">
        <f>SUM(C4:C11)</f>
        <v>26.931692857142856</v>
      </c>
      <c r="D14" s="61">
        <f>SUM(D4:D11)</f>
        <v>7.252812857142857</v>
      </c>
      <c r="E14" s="62">
        <f>SUM(E4:E11)</f>
        <v>122.1054</v>
      </c>
      <c r="F14" s="62">
        <f>SUM(F4:F11)</f>
        <v>0</v>
      </c>
      <c r="G14" s="62"/>
    </row>
    <row r="15" spans="1:7" ht="15">
      <c r="A15" s="51"/>
      <c r="B15" s="60"/>
      <c r="C15" s="61"/>
      <c r="D15" s="61"/>
      <c r="E15" s="62"/>
      <c r="F15" s="62"/>
      <c r="G15" s="62"/>
    </row>
    <row r="16" spans="1:7" ht="15">
      <c r="A16" s="51"/>
      <c r="B16" s="74"/>
      <c r="C16" s="61"/>
      <c r="D16" s="61"/>
      <c r="E16" s="62"/>
      <c r="F16" s="62"/>
      <c r="G16" s="62"/>
    </row>
    <row r="17" spans="1:7" ht="15">
      <c r="A17" s="58"/>
      <c r="B17" s="56"/>
      <c r="C17" s="35"/>
      <c r="D17" s="35"/>
      <c r="E17" s="35"/>
      <c r="F17" s="35"/>
      <c r="G17" s="63"/>
    </row>
    <row r="18" spans="1:7" ht="15">
      <c r="A18" s="58"/>
      <c r="B18" s="56"/>
      <c r="C18" s="35"/>
      <c r="D18" s="35"/>
      <c r="E18" s="35"/>
      <c r="F18" s="35"/>
      <c r="G18" s="63"/>
    </row>
    <row r="19" spans="1:7" ht="15">
      <c r="A19" s="58"/>
      <c r="B19" s="56"/>
      <c r="C19" s="35"/>
      <c r="D19" s="35"/>
      <c r="E19" s="35"/>
      <c r="F19" s="35"/>
      <c r="G19" s="63"/>
    </row>
    <row r="20" spans="1:7" ht="15">
      <c r="A20" s="58"/>
      <c r="B20" s="64"/>
      <c r="C20" s="35"/>
      <c r="D20" s="35"/>
      <c r="E20" s="35"/>
      <c r="F20" s="35"/>
      <c r="G20" s="63"/>
    </row>
    <row r="21" spans="1:7" ht="14.25">
      <c r="A21" s="35"/>
      <c r="B21" s="35"/>
      <c r="C21" s="35"/>
      <c r="D21" s="35"/>
      <c r="E21" s="35"/>
      <c r="F21" s="35"/>
      <c r="G21" s="35"/>
    </row>
    <row r="22" spans="1:7" ht="15">
      <c r="A22" s="58"/>
      <c r="B22" s="35"/>
      <c r="C22" s="35"/>
      <c r="D22" s="35"/>
      <c r="E22" s="35"/>
      <c r="F22" s="35"/>
      <c r="G22" s="65"/>
    </row>
    <row r="23" spans="1:7" ht="15">
      <c r="A23" s="58"/>
      <c r="B23" s="35"/>
      <c r="C23" s="35"/>
      <c r="D23" s="35"/>
      <c r="E23" s="35"/>
      <c r="F23" s="35"/>
      <c r="G23" s="35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24.140625" style="72" customWidth="1"/>
    <col min="2" max="2" width="11.00390625" style="72" customWidth="1"/>
    <col min="3" max="5" width="9.140625" style="72" customWidth="1"/>
    <col min="6" max="6" width="11.00390625" style="72" customWidth="1"/>
    <col min="7" max="7" width="9.140625" style="72" customWidth="1"/>
  </cols>
  <sheetData>
    <row r="1" spans="1:7" ht="15">
      <c r="A1" s="51" t="s">
        <v>15</v>
      </c>
      <c r="B1" s="52"/>
      <c r="C1" s="52"/>
      <c r="D1" s="52"/>
      <c r="E1" s="52"/>
      <c r="F1" s="52"/>
      <c r="G1" s="52"/>
    </row>
    <row r="2" spans="1:7" ht="15">
      <c r="A2" s="51"/>
      <c r="B2" s="73" t="s">
        <v>169</v>
      </c>
      <c r="C2" s="73"/>
      <c r="D2" s="73"/>
      <c r="E2" s="73"/>
      <c r="F2" s="52"/>
      <c r="G2" s="52"/>
    </row>
    <row r="3" spans="1:7" ht="31.5">
      <c r="A3" s="53" t="s">
        <v>16</v>
      </c>
      <c r="B3" s="53" t="s">
        <v>63</v>
      </c>
      <c r="C3" s="53" t="s">
        <v>65</v>
      </c>
      <c r="D3" s="54" t="s">
        <v>64</v>
      </c>
      <c r="E3" s="53" t="s">
        <v>66</v>
      </c>
      <c r="F3" s="53" t="s">
        <v>168</v>
      </c>
      <c r="G3" s="55"/>
    </row>
    <row r="4" spans="1:7" ht="36" customHeight="1">
      <c r="A4" s="51" t="s">
        <v>17</v>
      </c>
      <c r="B4" s="56">
        <f>'Dairy summary'!B4+'Finishing pig summary'!B4</f>
        <v>2134.245205479452</v>
      </c>
      <c r="C4" s="55"/>
      <c r="D4" s="55"/>
      <c r="E4" s="55"/>
      <c r="F4" s="35"/>
      <c r="G4" s="57"/>
    </row>
    <row r="5" spans="1:7" ht="36" customHeight="1">
      <c r="A5" s="51" t="s">
        <v>18</v>
      </c>
      <c r="B5" s="56">
        <f>'Dairy summary'!B5+'Finishing pig summary'!B5</f>
        <v>464.2129452054794</v>
      </c>
      <c r="C5" s="55"/>
      <c r="D5" s="55"/>
      <c r="E5" s="55"/>
      <c r="F5" s="35"/>
      <c r="G5" s="57"/>
    </row>
    <row r="6" spans="1:7" ht="15">
      <c r="A6" s="58" t="s">
        <v>19</v>
      </c>
      <c r="B6" s="56">
        <f>'Dairy summary'!B6+'Finishing pig summary'!B6</f>
        <v>573.75</v>
      </c>
      <c r="C6" s="55"/>
      <c r="D6" s="55"/>
      <c r="E6" s="55"/>
      <c r="F6" s="35"/>
      <c r="G6" s="57"/>
    </row>
    <row r="7" spans="1:7" ht="22.5" customHeight="1">
      <c r="A7" s="58" t="s">
        <v>29</v>
      </c>
      <c r="B7" s="56">
        <f>'Dairy summary'!B7+'Finishing pig summary'!B7</f>
        <v>1630.7361780821918</v>
      </c>
      <c r="C7" s="59">
        <f>'Dairy summary'!C7+'Finishing pig summary'!C7</f>
        <v>3.4842123287671227</v>
      </c>
      <c r="D7" s="59">
        <f>'Dairy summary'!D7+'Finishing pig summary'!D7</f>
        <v>1.8519270058708415</v>
      </c>
      <c r="E7" s="56">
        <f>'Dairy summary'!E7+'Finishing pig summary'!E7</f>
        <v>25.92697808219178</v>
      </c>
      <c r="F7" s="35"/>
      <c r="G7" s="57"/>
    </row>
    <row r="8" spans="1:7" ht="22.5" customHeight="1">
      <c r="A8" s="58" t="s">
        <v>30</v>
      </c>
      <c r="B8" s="56">
        <f>'Dairy summary'!B8+'Finishing pig summary'!B8</f>
        <v>259.62386609589043</v>
      </c>
      <c r="C8" s="59">
        <f>'Dairy summary'!C8+'Finishing pig summary'!C8</f>
        <v>54.664608708414875</v>
      </c>
      <c r="D8" s="59">
        <f>'Dairy summary'!D8+'Finishing pig summary'!D8</f>
        <v>9.657766966731897</v>
      </c>
      <c r="E8" s="56">
        <f>'Dairy summary'!E8+'Finishing pig summary'!E8</f>
        <v>169.01092191780822</v>
      </c>
      <c r="F8" s="56">
        <f>'Dairy summary'!F8+'Finishing pig summary'!F8</f>
        <v>0</v>
      </c>
      <c r="G8" s="57"/>
    </row>
    <row r="9" spans="1:7" ht="23.25" customHeight="1">
      <c r="A9" s="58" t="s">
        <v>31</v>
      </c>
      <c r="B9" s="56">
        <f>'Dairy summary'!B9+'Finishing pig summary'!B9</f>
        <v>4855.560778690802</v>
      </c>
      <c r="C9" s="55"/>
      <c r="D9" s="55"/>
      <c r="E9" s="55"/>
      <c r="F9" s="35"/>
      <c r="G9" s="57"/>
    </row>
    <row r="10" spans="1:7" ht="22.5" customHeight="1">
      <c r="A10" s="58" t="s">
        <v>170</v>
      </c>
      <c r="B10" s="56">
        <f>'Dairy summary'!B10+'Finishing pig summary'!B10</f>
        <v>675.9387499833267</v>
      </c>
      <c r="C10" s="55"/>
      <c r="D10" s="55"/>
      <c r="E10" s="55"/>
      <c r="F10" s="35"/>
      <c r="G10" s="57"/>
    </row>
    <row r="11" spans="1:7" ht="15">
      <c r="A11" s="58" t="s">
        <v>32</v>
      </c>
      <c r="B11" s="56">
        <f>'Dairy summary'!B11+'Finishing pig summary'!B11</f>
        <v>290.804794520548</v>
      </c>
      <c r="C11" s="55"/>
      <c r="D11" s="55"/>
      <c r="E11" s="55"/>
      <c r="F11" s="35"/>
      <c r="G11" s="57"/>
    </row>
    <row r="12" spans="1:7" ht="15">
      <c r="A12" s="58"/>
      <c r="B12" s="56"/>
      <c r="C12" s="55"/>
      <c r="D12" s="55"/>
      <c r="E12" s="55"/>
      <c r="F12" s="35"/>
      <c r="G12" s="57"/>
    </row>
    <row r="13" spans="1:7" ht="15">
      <c r="A13" s="58"/>
      <c r="B13" s="56"/>
      <c r="C13" s="55"/>
      <c r="D13" s="55"/>
      <c r="E13" s="55"/>
      <c r="F13" s="35"/>
      <c r="G13" s="35"/>
    </row>
    <row r="14" spans="1:7" ht="15">
      <c r="A14" s="51" t="s">
        <v>33</v>
      </c>
      <c r="B14" s="60">
        <f>SUM(B4:B11)</f>
        <v>10884.87251805769</v>
      </c>
      <c r="C14" s="61">
        <f>SUM(C4:C11)</f>
        <v>58.148821037181996</v>
      </c>
      <c r="D14" s="61">
        <f>SUM(D4:D11)</f>
        <v>11.509693972602738</v>
      </c>
      <c r="E14" s="62">
        <f>SUM(E4:E11)</f>
        <v>194.9379</v>
      </c>
      <c r="F14" s="62">
        <f>SUM(F4:F11)</f>
        <v>0</v>
      </c>
      <c r="G14" s="62"/>
    </row>
    <row r="15" spans="1:7" ht="15">
      <c r="A15" s="51"/>
      <c r="B15" s="60"/>
      <c r="C15" s="61"/>
      <c r="D15" s="61"/>
      <c r="E15" s="62"/>
      <c r="F15" s="62"/>
      <c r="G15" s="62"/>
    </row>
    <row r="16" spans="1:7" ht="15">
      <c r="A16" s="51"/>
      <c r="B16" s="74"/>
      <c r="C16" s="61"/>
      <c r="D16" s="61"/>
      <c r="E16" s="62"/>
      <c r="F16" s="62"/>
      <c r="G16" s="62"/>
    </row>
    <row r="17" spans="1:7" ht="15">
      <c r="A17" s="58"/>
      <c r="B17" s="56"/>
      <c r="C17" s="35"/>
      <c r="D17" s="35"/>
      <c r="E17" s="35"/>
      <c r="F17" s="35"/>
      <c r="G17" s="63"/>
    </row>
    <row r="18" spans="1:7" ht="15">
      <c r="A18" s="58"/>
      <c r="B18" s="56"/>
      <c r="C18" s="35"/>
      <c r="D18" s="35"/>
      <c r="E18" s="35"/>
      <c r="F18" s="35"/>
      <c r="G18" s="63"/>
    </row>
    <row r="19" spans="1:7" ht="15">
      <c r="A19" s="58"/>
      <c r="B19" s="56"/>
      <c r="C19" s="35"/>
      <c r="D19" s="35"/>
      <c r="E19" s="35"/>
      <c r="F19" s="35"/>
      <c r="G19" s="63"/>
    </row>
    <row r="20" spans="1:7" ht="15">
      <c r="A20" s="58"/>
      <c r="B20" s="64"/>
      <c r="C20" s="35"/>
      <c r="D20" s="35"/>
      <c r="E20" s="35"/>
      <c r="F20" s="35"/>
      <c r="G20" s="63"/>
    </row>
    <row r="21" spans="1:7" ht="14.25">
      <c r="A21" s="35"/>
      <c r="B21" s="35"/>
      <c r="C21" s="35"/>
      <c r="D21" s="35"/>
      <c r="E21" s="35"/>
      <c r="F21" s="35"/>
      <c r="G21" s="35"/>
    </row>
    <row r="22" spans="1:7" ht="15">
      <c r="A22" s="58"/>
      <c r="B22" s="35"/>
      <c r="C22" s="35"/>
      <c r="D22" s="35"/>
      <c r="E22" s="35"/>
      <c r="F22" s="35"/>
      <c r="G22" s="65"/>
    </row>
    <row r="23" spans="1:7" ht="15">
      <c r="A23" s="58"/>
      <c r="B23" s="35"/>
      <c r="C23" s="35"/>
      <c r="D23" s="35"/>
      <c r="E23" s="35"/>
      <c r="F23" s="35"/>
      <c r="G23" s="3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AEA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AEAT</dc:creator>
  <cp:keywords/>
  <dc:description/>
  <cp:lastModifiedBy>EEA</cp:lastModifiedBy>
  <dcterms:created xsi:type="dcterms:W3CDTF">2007-11-12T09:38:41Z</dcterms:created>
  <dcterms:modified xsi:type="dcterms:W3CDTF">2013-07-04T09:53:31Z</dcterms:modified>
  <cp:category/>
  <cp:version/>
  <cp:contentType/>
  <cp:contentStatus/>
</cp:coreProperties>
</file>