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6.xml" ContentType="application/vnd.openxmlformats-officedocument.drawingml.chartshapes+xml"/>
  <Override PartName="/xl/drawings/drawing4.xml" ContentType="application/vnd.openxmlformats-officedocument.drawingml.chartshapes+xml"/>
  <Override PartName="/xl/drawings/drawing8.xml" ContentType="application/vnd.openxmlformats-officedocument.drawingml.chartshap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8685" windowHeight="4185" firstSheet="2" activeTab="5"/>
  </bookViews>
  <sheets>
    <sheet name="Decision matrix" sheetId="5" r:id="rId1"/>
    <sheet name="Flood risk assessment" sheetId="1" r:id="rId2"/>
    <sheet name="Cost Benefit Analysis" sheetId="4" r:id="rId3"/>
    <sheet name="MCA 1 - Basic" sheetId="10" r:id="rId4"/>
    <sheet name="MCA 2 - Resident" sheetId="7" r:id="rId5"/>
    <sheet name="MCA 3 - Ecologist" sheetId="8" r:id="rId6"/>
    <sheet name="MCA 4 - Insurer" sheetId="9" r:id="rId7"/>
  </sheets>
  <calcPr calcId="125725"/>
</workbook>
</file>

<file path=xl/calcChain.xml><?xml version="1.0" encoding="utf-8"?>
<calcChain xmlns="http://schemas.openxmlformats.org/spreadsheetml/2006/main">
  <c r="D25" i="4"/>
  <c r="D16"/>
  <c r="H16"/>
  <c r="E16"/>
  <c r="E32" l="1"/>
  <c r="F32"/>
  <c r="G32"/>
  <c r="H32"/>
  <c r="D32"/>
  <c r="E44"/>
  <c r="F44"/>
  <c r="G44"/>
  <c r="H44"/>
  <c r="D44"/>
  <c r="D41" i="10"/>
  <c r="D40"/>
  <c r="D39"/>
  <c r="D38"/>
  <c r="D37"/>
  <c r="D36"/>
  <c r="D35"/>
  <c r="D34"/>
  <c r="D33"/>
  <c r="D32"/>
  <c r="D31"/>
  <c r="K18"/>
  <c r="J18"/>
  <c r="I18"/>
  <c r="H18"/>
  <c r="G18"/>
  <c r="G41" s="1"/>
  <c r="F18"/>
  <c r="K17"/>
  <c r="J17"/>
  <c r="I17"/>
  <c r="H17"/>
  <c r="G17"/>
  <c r="F17"/>
  <c r="K16"/>
  <c r="X16" s="1"/>
  <c r="J16"/>
  <c r="W16" s="1"/>
  <c r="I16"/>
  <c r="V16" s="1"/>
  <c r="H16"/>
  <c r="U16" s="1"/>
  <c r="G16"/>
  <c r="T16" s="1"/>
  <c r="G39" s="1"/>
  <c r="F16"/>
  <c r="S16" s="1"/>
  <c r="K15"/>
  <c r="X15" s="1"/>
  <c r="J15"/>
  <c r="W15" s="1"/>
  <c r="I15"/>
  <c r="V15" s="1"/>
  <c r="H15"/>
  <c r="U15" s="1"/>
  <c r="G15"/>
  <c r="T15" s="1"/>
  <c r="F15"/>
  <c r="S15" s="1"/>
  <c r="K14"/>
  <c r="J14"/>
  <c r="I14"/>
  <c r="H14"/>
  <c r="G14"/>
  <c r="G37" s="1"/>
  <c r="F14"/>
  <c r="K13"/>
  <c r="J13"/>
  <c r="I13"/>
  <c r="H13"/>
  <c r="G13"/>
  <c r="F13"/>
  <c r="K12"/>
  <c r="J12"/>
  <c r="I12"/>
  <c r="H12"/>
  <c r="G12"/>
  <c r="G35" s="1"/>
  <c r="F12"/>
  <c r="K11"/>
  <c r="J11"/>
  <c r="I11"/>
  <c r="H11"/>
  <c r="G11"/>
  <c r="F11"/>
  <c r="K10"/>
  <c r="J10"/>
  <c r="I10"/>
  <c r="H10"/>
  <c r="G10"/>
  <c r="G33" s="1"/>
  <c r="F10"/>
  <c r="K9"/>
  <c r="J9"/>
  <c r="I9"/>
  <c r="H9"/>
  <c r="G9"/>
  <c r="F9"/>
  <c r="K8"/>
  <c r="J8"/>
  <c r="I8"/>
  <c r="H8"/>
  <c r="G8"/>
  <c r="F8"/>
  <c r="D79" i="9"/>
  <c r="D78"/>
  <c r="D77"/>
  <c r="D76"/>
  <c r="D75"/>
  <c r="D74"/>
  <c r="D73"/>
  <c r="D72"/>
  <c r="D71"/>
  <c r="D70"/>
  <c r="D69"/>
  <c r="D62"/>
  <c r="D61"/>
  <c r="D60"/>
  <c r="D59"/>
  <c r="D58"/>
  <c r="D57"/>
  <c r="D56"/>
  <c r="D55"/>
  <c r="D54"/>
  <c r="D53"/>
  <c r="D52"/>
  <c r="E34"/>
  <c r="D34"/>
  <c r="D47" s="1"/>
  <c r="E33"/>
  <c r="D33"/>
  <c r="D46" s="1"/>
  <c r="E32"/>
  <c r="D32"/>
  <c r="D45" s="1"/>
  <c r="E31"/>
  <c r="D31"/>
  <c r="D44" s="1"/>
  <c r="E30"/>
  <c r="D30"/>
  <c r="D43" s="1"/>
  <c r="E29"/>
  <c r="D29"/>
  <c r="D42" s="1"/>
  <c r="E28"/>
  <c r="D28"/>
  <c r="D41" s="1"/>
  <c r="E27"/>
  <c r="D27"/>
  <c r="D40" s="1"/>
  <c r="E26"/>
  <c r="D26"/>
  <c r="D39" s="1"/>
  <c r="E25"/>
  <c r="D25"/>
  <c r="D38" s="1"/>
  <c r="E24"/>
  <c r="D24"/>
  <c r="D37" s="1"/>
  <c r="K18"/>
  <c r="J18"/>
  <c r="I18"/>
  <c r="H18"/>
  <c r="G18"/>
  <c r="F18"/>
  <c r="K17"/>
  <c r="J17"/>
  <c r="I17"/>
  <c r="H17"/>
  <c r="G17"/>
  <c r="F17"/>
  <c r="K16"/>
  <c r="J16"/>
  <c r="I16"/>
  <c r="H16"/>
  <c r="G16"/>
  <c r="F16"/>
  <c r="K15"/>
  <c r="J15"/>
  <c r="I15"/>
  <c r="H15"/>
  <c r="G15"/>
  <c r="F15"/>
  <c r="K14"/>
  <c r="J14"/>
  <c r="I14"/>
  <c r="H14"/>
  <c r="G14"/>
  <c r="F14"/>
  <c r="K13"/>
  <c r="J13"/>
  <c r="I13"/>
  <c r="H13"/>
  <c r="G13"/>
  <c r="F13"/>
  <c r="K12"/>
  <c r="J12"/>
  <c r="I12"/>
  <c r="H12"/>
  <c r="G12"/>
  <c r="F12"/>
  <c r="K11"/>
  <c r="J11"/>
  <c r="I11"/>
  <c r="H11"/>
  <c r="G11"/>
  <c r="F11"/>
  <c r="K10"/>
  <c r="J10"/>
  <c r="I10"/>
  <c r="H10"/>
  <c r="G10"/>
  <c r="F10"/>
  <c r="K9"/>
  <c r="J9"/>
  <c r="I9"/>
  <c r="H9"/>
  <c r="G9"/>
  <c r="F9"/>
  <c r="K8"/>
  <c r="J8"/>
  <c r="I8"/>
  <c r="H8"/>
  <c r="G8"/>
  <c r="F8"/>
  <c r="D79" i="8"/>
  <c r="D78"/>
  <c r="D77"/>
  <c r="D76"/>
  <c r="D75"/>
  <c r="D74"/>
  <c r="D73"/>
  <c r="D72"/>
  <c r="D71"/>
  <c r="D70"/>
  <c r="D69"/>
  <c r="D62"/>
  <c r="D61"/>
  <c r="D60"/>
  <c r="D59"/>
  <c r="D58"/>
  <c r="D57"/>
  <c r="D56"/>
  <c r="D55"/>
  <c r="D54"/>
  <c r="D53"/>
  <c r="D52"/>
  <c r="E34"/>
  <c r="D34"/>
  <c r="D47" s="1"/>
  <c r="E33"/>
  <c r="D33"/>
  <c r="D46" s="1"/>
  <c r="E32"/>
  <c r="D32"/>
  <c r="D45" s="1"/>
  <c r="E31"/>
  <c r="D31"/>
  <c r="D44" s="1"/>
  <c r="E30"/>
  <c r="D30"/>
  <c r="D43" s="1"/>
  <c r="E29"/>
  <c r="D29"/>
  <c r="D42" s="1"/>
  <c r="E28"/>
  <c r="D28"/>
  <c r="D41" s="1"/>
  <c r="E27"/>
  <c r="D27"/>
  <c r="D40" s="1"/>
  <c r="E26"/>
  <c r="D26"/>
  <c r="D39" s="1"/>
  <c r="E25"/>
  <c r="D25"/>
  <c r="D38" s="1"/>
  <c r="E24"/>
  <c r="D24"/>
  <c r="D37" s="1"/>
  <c r="K18"/>
  <c r="J18"/>
  <c r="I18"/>
  <c r="H18"/>
  <c r="G18"/>
  <c r="F18"/>
  <c r="H34" s="1"/>
  <c r="K17"/>
  <c r="J17"/>
  <c r="I17"/>
  <c r="H17"/>
  <c r="G17"/>
  <c r="F17"/>
  <c r="K16"/>
  <c r="J16"/>
  <c r="I16"/>
  <c r="H16"/>
  <c r="G16"/>
  <c r="F16"/>
  <c r="H32" s="1"/>
  <c r="K15"/>
  <c r="J15"/>
  <c r="I15"/>
  <c r="H15"/>
  <c r="G15"/>
  <c r="F15"/>
  <c r="K14"/>
  <c r="J14"/>
  <c r="I14"/>
  <c r="H14"/>
  <c r="G14"/>
  <c r="F14"/>
  <c r="H30" s="1"/>
  <c r="K13"/>
  <c r="J13"/>
  <c r="I13"/>
  <c r="H13"/>
  <c r="G13"/>
  <c r="F13"/>
  <c r="K12"/>
  <c r="J12"/>
  <c r="I12"/>
  <c r="H12"/>
  <c r="G12"/>
  <c r="F12"/>
  <c r="H28" s="1"/>
  <c r="K11"/>
  <c r="J11"/>
  <c r="I11"/>
  <c r="H11"/>
  <c r="G11"/>
  <c r="F11"/>
  <c r="K10"/>
  <c r="J10"/>
  <c r="I10"/>
  <c r="H10"/>
  <c r="G10"/>
  <c r="F10"/>
  <c r="H26" s="1"/>
  <c r="K9"/>
  <c r="J9"/>
  <c r="I9"/>
  <c r="H9"/>
  <c r="G9"/>
  <c r="F9"/>
  <c r="K8"/>
  <c r="J8"/>
  <c r="I8"/>
  <c r="H8"/>
  <c r="G8"/>
  <c r="F8"/>
  <c r="H24" s="1"/>
  <c r="F8" i="7"/>
  <c r="D70"/>
  <c r="D71"/>
  <c r="D72"/>
  <c r="D73"/>
  <c r="D74"/>
  <c r="D75"/>
  <c r="D76"/>
  <c r="D77"/>
  <c r="D78"/>
  <c r="D79"/>
  <c r="D69"/>
  <c r="D53"/>
  <c r="D54"/>
  <c r="D55"/>
  <c r="D56"/>
  <c r="D57"/>
  <c r="D58"/>
  <c r="D59"/>
  <c r="D60"/>
  <c r="D61"/>
  <c r="D62"/>
  <c r="D52"/>
  <c r="D37"/>
  <c r="E25"/>
  <c r="E26"/>
  <c r="E27"/>
  <c r="E28"/>
  <c r="E29"/>
  <c r="E30"/>
  <c r="E31"/>
  <c r="E32"/>
  <c r="E33"/>
  <c r="E34"/>
  <c r="E24"/>
  <c r="D25"/>
  <c r="D38" s="1"/>
  <c r="D26"/>
  <c r="D39" s="1"/>
  <c r="D27"/>
  <c r="D40" s="1"/>
  <c r="D28"/>
  <c r="D41" s="1"/>
  <c r="D29"/>
  <c r="D42" s="1"/>
  <c r="D30"/>
  <c r="D43" s="1"/>
  <c r="D31"/>
  <c r="D44" s="1"/>
  <c r="D32"/>
  <c r="D45" s="1"/>
  <c r="D33"/>
  <c r="D46" s="1"/>
  <c r="D34"/>
  <c r="D47" s="1"/>
  <c r="D24"/>
  <c r="G17"/>
  <c r="H17"/>
  <c r="I17"/>
  <c r="J17"/>
  <c r="K17"/>
  <c r="G18"/>
  <c r="H18"/>
  <c r="I18"/>
  <c r="J18"/>
  <c r="F17"/>
  <c r="F9"/>
  <c r="G9"/>
  <c r="H9"/>
  <c r="I9"/>
  <c r="J9"/>
  <c r="K9"/>
  <c r="F10"/>
  <c r="G10"/>
  <c r="H10"/>
  <c r="I10"/>
  <c r="J10"/>
  <c r="K10"/>
  <c r="F11"/>
  <c r="G11"/>
  <c r="H11"/>
  <c r="I11"/>
  <c r="J11"/>
  <c r="K11"/>
  <c r="F12"/>
  <c r="G12"/>
  <c r="H12"/>
  <c r="I12"/>
  <c r="J12"/>
  <c r="K12"/>
  <c r="F13"/>
  <c r="G13"/>
  <c r="H13"/>
  <c r="I13"/>
  <c r="J13"/>
  <c r="K13"/>
  <c r="F14"/>
  <c r="G14"/>
  <c r="H14"/>
  <c r="I14"/>
  <c r="J14"/>
  <c r="K14"/>
  <c r="F15"/>
  <c r="G15"/>
  <c r="H15"/>
  <c r="I15"/>
  <c r="J15"/>
  <c r="K15"/>
  <c r="F16"/>
  <c r="G16"/>
  <c r="H16"/>
  <c r="I16"/>
  <c r="J16"/>
  <c r="K16"/>
  <c r="F18"/>
  <c r="K18"/>
  <c r="G8"/>
  <c r="H8"/>
  <c r="I8"/>
  <c r="J8"/>
  <c r="K8"/>
  <c r="H25" i="8" l="1"/>
  <c r="H29"/>
  <c r="H33"/>
  <c r="G32" i="10"/>
  <c r="G34"/>
  <c r="G36"/>
  <c r="G38"/>
  <c r="G40"/>
  <c r="K38"/>
  <c r="H24" i="9"/>
  <c r="H25"/>
  <c r="H26"/>
  <c r="H29"/>
  <c r="H30"/>
  <c r="H32"/>
  <c r="H33"/>
  <c r="H34"/>
  <c r="G31" i="10"/>
  <c r="H31"/>
  <c r="J31"/>
  <c r="F32"/>
  <c r="H32"/>
  <c r="J32"/>
  <c r="F33"/>
  <c r="H33"/>
  <c r="J33"/>
  <c r="F34"/>
  <c r="H34"/>
  <c r="J34"/>
  <c r="F35"/>
  <c r="H35"/>
  <c r="J35"/>
  <c r="F36"/>
  <c r="H36"/>
  <c r="J36"/>
  <c r="F37"/>
  <c r="H37"/>
  <c r="J37"/>
  <c r="F38"/>
  <c r="F40"/>
  <c r="H40"/>
  <c r="J40"/>
  <c r="F41"/>
  <c r="H41"/>
  <c r="J41"/>
  <c r="I32"/>
  <c r="K32"/>
  <c r="I33"/>
  <c r="K33"/>
  <c r="I34"/>
  <c r="K34"/>
  <c r="I35"/>
  <c r="K35"/>
  <c r="I36"/>
  <c r="K36"/>
  <c r="I37"/>
  <c r="K37"/>
  <c r="I40"/>
  <c r="K40"/>
  <c r="I41"/>
  <c r="K41"/>
  <c r="H38"/>
  <c r="J38"/>
  <c r="F39"/>
  <c r="H39"/>
  <c r="J39"/>
  <c r="I38"/>
  <c r="I39"/>
  <c r="K39"/>
  <c r="F31"/>
  <c r="H28" i="9"/>
  <c r="K31" i="10"/>
  <c r="I31"/>
  <c r="I24" i="9"/>
  <c r="I25"/>
  <c r="F38" s="1"/>
  <c r="I26"/>
  <c r="I27"/>
  <c r="I28"/>
  <c r="I29"/>
  <c r="I42" s="1"/>
  <c r="I74" s="1"/>
  <c r="I30"/>
  <c r="I31"/>
  <c r="I32"/>
  <c r="K45" s="1"/>
  <c r="K77" s="1"/>
  <c r="I33"/>
  <c r="I46" s="1"/>
  <c r="I78" s="1"/>
  <c r="I34"/>
  <c r="G47" s="1"/>
  <c r="G79" s="1"/>
  <c r="H27"/>
  <c r="H40" s="1"/>
  <c r="H72" s="1"/>
  <c r="H31"/>
  <c r="I24" i="8"/>
  <c r="I25"/>
  <c r="I26"/>
  <c r="I27"/>
  <c r="I28"/>
  <c r="H41" s="1"/>
  <c r="H73" s="1"/>
  <c r="I29"/>
  <c r="I30"/>
  <c r="K43" s="1"/>
  <c r="K75" s="1"/>
  <c r="I31"/>
  <c r="I32"/>
  <c r="I45" s="1"/>
  <c r="I77" s="1"/>
  <c r="I33"/>
  <c r="I46" s="1"/>
  <c r="I78" s="1"/>
  <c r="I34"/>
  <c r="K47" s="1"/>
  <c r="K79" s="1"/>
  <c r="H27"/>
  <c r="G40" s="1"/>
  <c r="G72" s="1"/>
  <c r="H31"/>
  <c r="H32" i="7"/>
  <c r="H29"/>
  <c r="I27"/>
  <c r="J40" s="1"/>
  <c r="H25"/>
  <c r="I32"/>
  <c r="I45" s="1"/>
  <c r="I30"/>
  <c r="H28"/>
  <c r="I26"/>
  <c r="K45"/>
  <c r="H27"/>
  <c r="I25"/>
  <c r="H34"/>
  <c r="H45"/>
  <c r="I33"/>
  <c r="H30"/>
  <c r="H26"/>
  <c r="I34"/>
  <c r="I28"/>
  <c r="H31"/>
  <c r="F45"/>
  <c r="H33"/>
  <c r="I24"/>
  <c r="I29"/>
  <c r="I31"/>
  <c r="H24"/>
  <c r="K41" l="1"/>
  <c r="G40"/>
  <c r="G54" i="8"/>
  <c r="H37"/>
  <c r="G52"/>
  <c r="F38" i="7"/>
  <c r="K38" i="8"/>
  <c r="G53"/>
  <c r="K42"/>
  <c r="K74" s="1"/>
  <c r="K43" i="9"/>
  <c r="K75" s="1"/>
  <c r="K47" i="7"/>
  <c r="K79" s="1"/>
  <c r="I38"/>
  <c r="K40"/>
  <c r="G44" i="8"/>
  <c r="G76" s="1"/>
  <c r="J41"/>
  <c r="J73" s="1"/>
  <c r="F43" i="9"/>
  <c r="F75" s="1"/>
  <c r="J45" i="8"/>
  <c r="J77" s="1"/>
  <c r="H40" i="7"/>
  <c r="H38"/>
  <c r="J38"/>
  <c r="F46"/>
  <c r="I40"/>
  <c r="K44" i="8"/>
  <c r="F37"/>
  <c r="K46"/>
  <c r="K78" s="1"/>
  <c r="I41"/>
  <c r="I73" s="1"/>
  <c r="H46"/>
  <c r="H78" s="1"/>
  <c r="G45"/>
  <c r="G77" s="1"/>
  <c r="G37"/>
  <c r="H44" i="9"/>
  <c r="K41"/>
  <c r="K73" s="1"/>
  <c r="G54"/>
  <c r="G52"/>
  <c r="F42" i="8"/>
  <c r="F74" s="1"/>
  <c r="F44"/>
  <c r="I42"/>
  <c r="I74" s="1"/>
  <c r="F47" i="9"/>
  <c r="F79" s="1"/>
  <c r="G53"/>
  <c r="F41"/>
  <c r="F73" s="1"/>
  <c r="F44"/>
  <c r="F40"/>
  <c r="F72" s="1"/>
  <c r="G46"/>
  <c r="G78" s="1"/>
  <c r="K42"/>
  <c r="K74" s="1"/>
  <c r="I39"/>
  <c r="I71" s="1"/>
  <c r="J45"/>
  <c r="J77" s="1"/>
  <c r="J37"/>
  <c r="I45"/>
  <c r="I77" s="1"/>
  <c r="I37"/>
  <c r="K39"/>
  <c r="I44"/>
  <c r="I40"/>
  <c r="I72" s="1"/>
  <c r="H45"/>
  <c r="H77" s="1"/>
  <c r="H37"/>
  <c r="H69" s="1"/>
  <c r="F70"/>
  <c r="F45"/>
  <c r="F77" s="1"/>
  <c r="J46"/>
  <c r="J78" s="1"/>
  <c r="J40"/>
  <c r="J72" s="1"/>
  <c r="K46"/>
  <c r="K78" s="1"/>
  <c r="I43"/>
  <c r="I75" s="1"/>
  <c r="G40"/>
  <c r="G72" s="1"/>
  <c r="H46"/>
  <c r="H78" s="1"/>
  <c r="H38"/>
  <c r="H70" s="1"/>
  <c r="J47"/>
  <c r="J79" s="1"/>
  <c r="I41"/>
  <c r="I73" s="1"/>
  <c r="G39"/>
  <c r="G45"/>
  <c r="G77" s="1"/>
  <c r="G41"/>
  <c r="G73" s="1"/>
  <c r="G37"/>
  <c r="J38"/>
  <c r="F46"/>
  <c r="F78" s="1"/>
  <c r="F39"/>
  <c r="G59"/>
  <c r="F42"/>
  <c r="F74" s="1"/>
  <c r="H47"/>
  <c r="H79" s="1"/>
  <c r="H41"/>
  <c r="H73" s="1"/>
  <c r="I47"/>
  <c r="I79" s="1"/>
  <c r="G44"/>
  <c r="K40"/>
  <c r="K72" s="1"/>
  <c r="G38"/>
  <c r="J39"/>
  <c r="J71" s="1"/>
  <c r="G43"/>
  <c r="G75" s="1"/>
  <c r="J41"/>
  <c r="J73" s="1"/>
  <c r="K47"/>
  <c r="K79" s="1"/>
  <c r="K37"/>
  <c r="H43"/>
  <c r="H75" s="1"/>
  <c r="F37"/>
  <c r="J42"/>
  <c r="J74" s="1"/>
  <c r="H39"/>
  <c r="H71" s="1"/>
  <c r="K44"/>
  <c r="G42"/>
  <c r="G74" s="1"/>
  <c r="K38"/>
  <c r="J43"/>
  <c r="J75" s="1"/>
  <c r="H42"/>
  <c r="H74" s="1"/>
  <c r="I38"/>
  <c r="I70" s="1"/>
  <c r="J44"/>
  <c r="K39" i="8"/>
  <c r="K71" s="1"/>
  <c r="F40"/>
  <c r="F72" s="1"/>
  <c r="F47"/>
  <c r="F79" s="1"/>
  <c r="K70"/>
  <c r="F38"/>
  <c r="H47"/>
  <c r="H79" s="1"/>
  <c r="H43"/>
  <c r="H75" s="1"/>
  <c r="G46"/>
  <c r="G78" s="1"/>
  <c r="I43"/>
  <c r="I75" s="1"/>
  <c r="K40"/>
  <c r="K72" s="1"/>
  <c r="G38"/>
  <c r="H44"/>
  <c r="H40"/>
  <c r="H72" s="1"/>
  <c r="G47"/>
  <c r="G79" s="1"/>
  <c r="I44"/>
  <c r="K41"/>
  <c r="K73" s="1"/>
  <c r="G39"/>
  <c r="G71" s="1"/>
  <c r="J46"/>
  <c r="J78" s="1"/>
  <c r="H39"/>
  <c r="H71" s="1"/>
  <c r="J37"/>
  <c r="F39"/>
  <c r="F71" s="1"/>
  <c r="F46"/>
  <c r="F78" s="1"/>
  <c r="F41"/>
  <c r="F73" s="1"/>
  <c r="J44"/>
  <c r="I47"/>
  <c r="I79" s="1"/>
  <c r="G42"/>
  <c r="G74" s="1"/>
  <c r="I39"/>
  <c r="I71" s="1"/>
  <c r="J47"/>
  <c r="J79" s="1"/>
  <c r="H42"/>
  <c r="H74" s="1"/>
  <c r="H38"/>
  <c r="K45"/>
  <c r="K77" s="1"/>
  <c r="G43"/>
  <c r="G75" s="1"/>
  <c r="I40"/>
  <c r="I72" s="1"/>
  <c r="K37"/>
  <c r="J40"/>
  <c r="J72" s="1"/>
  <c r="F43"/>
  <c r="F75" s="1"/>
  <c r="G64"/>
  <c r="F45"/>
  <c r="F77" s="1"/>
  <c r="H45"/>
  <c r="H77" s="1"/>
  <c r="J42"/>
  <c r="J74" s="1"/>
  <c r="I37"/>
  <c r="J43"/>
  <c r="J75" s="1"/>
  <c r="J39"/>
  <c r="J71" s="1"/>
  <c r="G41"/>
  <c r="G73" s="1"/>
  <c r="I38"/>
  <c r="I70" s="1"/>
  <c r="J38"/>
  <c r="H47" i="7"/>
  <c r="H79" s="1"/>
  <c r="J47"/>
  <c r="J79" s="1"/>
  <c r="K39"/>
  <c r="G38"/>
  <c r="I42"/>
  <c r="I74" s="1"/>
  <c r="G47"/>
  <c r="G79" s="1"/>
  <c r="F47"/>
  <c r="F79" s="1"/>
  <c r="K37"/>
  <c r="F40"/>
  <c r="K38"/>
  <c r="G42"/>
  <c r="G74" s="1"/>
  <c r="I43"/>
  <c r="F39"/>
  <c r="G59"/>
  <c r="J45"/>
  <c r="G45"/>
  <c r="F41"/>
  <c r="F42"/>
  <c r="F74" s="1"/>
  <c r="I47"/>
  <c r="I79" s="1"/>
  <c r="H42"/>
  <c r="H74" s="1"/>
  <c r="K42"/>
  <c r="K74" s="1"/>
  <c r="G44"/>
  <c r="K44"/>
  <c r="F37"/>
  <c r="J37"/>
  <c r="J43"/>
  <c r="J46"/>
  <c r="J42"/>
  <c r="J74" s="1"/>
  <c r="G41"/>
  <c r="I44"/>
  <c r="G39"/>
  <c r="I39"/>
  <c r="J41"/>
  <c r="G37"/>
  <c r="H41"/>
  <c r="F44"/>
  <c r="G43"/>
  <c r="I37"/>
  <c r="G46"/>
  <c r="K46"/>
  <c r="J44"/>
  <c r="K43"/>
  <c r="J39"/>
  <c r="H39"/>
  <c r="F43"/>
  <c r="I41"/>
  <c r="H44"/>
  <c r="I46"/>
  <c r="H43"/>
  <c r="H46"/>
  <c r="H37"/>
  <c r="F69" i="9" l="1"/>
  <c r="K69"/>
  <c r="G69"/>
  <c r="I69"/>
  <c r="J69"/>
  <c r="F71"/>
  <c r="F81" s="1"/>
  <c r="G71"/>
  <c r="K71"/>
  <c r="G64"/>
  <c r="K76"/>
  <c r="J70"/>
  <c r="J76"/>
  <c r="K70"/>
  <c r="G70"/>
  <c r="H70" i="8"/>
  <c r="J70"/>
  <c r="I69"/>
  <c r="F69"/>
  <c r="F70"/>
  <c r="G69"/>
  <c r="H69"/>
  <c r="I43" i="10"/>
  <c r="K43"/>
  <c r="F43"/>
  <c r="G43"/>
  <c r="J43"/>
  <c r="F76" i="9"/>
  <c r="H76"/>
  <c r="H81" s="1"/>
  <c r="G76"/>
  <c r="I76"/>
  <c r="I81" s="1"/>
  <c r="K69" i="8"/>
  <c r="J69"/>
  <c r="H76"/>
  <c r="K76"/>
  <c r="J76"/>
  <c r="F76"/>
  <c r="I76"/>
  <c r="G70"/>
  <c r="H5" i="5"/>
  <c r="G5"/>
  <c r="F5"/>
  <c r="E5"/>
  <c r="E19" i="4"/>
  <c r="F19"/>
  <c r="G19"/>
  <c r="H19"/>
  <c r="D19"/>
  <c r="J4" i="1"/>
  <c r="I4"/>
  <c r="H4"/>
  <c r="F4"/>
  <c r="G81" i="9" l="1"/>
  <c r="I81" i="8"/>
  <c r="K81" i="9"/>
  <c r="J81"/>
  <c r="H81" i="8"/>
  <c r="G81"/>
  <c r="F81"/>
  <c r="K81"/>
  <c r="J81"/>
  <c r="H43" i="10"/>
  <c r="H44" s="1"/>
  <c r="E4" i="1"/>
  <c r="I21"/>
  <c r="H21"/>
  <c r="G21"/>
  <c r="F21"/>
  <c r="E21"/>
  <c r="D15" i="4"/>
  <c r="E20"/>
  <c r="E21" s="1"/>
  <c r="F20"/>
  <c r="F21" s="1"/>
  <c r="G20"/>
  <c r="H20"/>
  <c r="H21" s="1"/>
  <c r="D20"/>
  <c r="D28" s="1"/>
  <c r="D29" s="1"/>
  <c r="D30" s="1"/>
  <c r="G15"/>
  <c r="E15"/>
  <c r="F15"/>
  <c r="C9"/>
  <c r="G24" s="1"/>
  <c r="G25"/>
  <c r="F25"/>
  <c r="E25"/>
  <c r="G21" l="1"/>
  <c r="J82" i="9"/>
  <c r="I82"/>
  <c r="H82"/>
  <c r="F82"/>
  <c r="K82"/>
  <c r="G82"/>
  <c r="G82" i="8"/>
  <c r="H82"/>
  <c r="K82"/>
  <c r="F82"/>
  <c r="I82"/>
  <c r="J82"/>
  <c r="F44" i="10"/>
  <c r="G44"/>
  <c r="I44"/>
  <c r="J44"/>
  <c r="K44"/>
  <c r="D21" i="4"/>
  <c r="E24"/>
  <c r="F24"/>
  <c r="G16"/>
  <c r="G28" s="1"/>
  <c r="G29" s="1"/>
  <c r="G30" s="1"/>
  <c r="F16"/>
  <c r="F28" s="1"/>
  <c r="F29" s="1"/>
  <c r="F30" s="1"/>
  <c r="H28"/>
  <c r="E28"/>
  <c r="H24"/>
  <c r="H29" l="1"/>
  <c r="H30" s="1"/>
  <c r="E29"/>
  <c r="E30" s="1"/>
  <c r="G72" i="7"/>
  <c r="J72"/>
  <c r="F72"/>
  <c r="H72"/>
  <c r="K72"/>
  <c r="I72"/>
  <c r="F75"/>
  <c r="K75"/>
  <c r="G75"/>
  <c r="J75"/>
  <c r="I75"/>
  <c r="H75"/>
  <c r="K73"/>
  <c r="J73"/>
  <c r="F73"/>
  <c r="H73"/>
  <c r="G73"/>
  <c r="I73"/>
  <c r="H77"/>
  <c r="J77"/>
  <c r="F77"/>
  <c r="G77"/>
  <c r="K77"/>
  <c r="I77"/>
  <c r="I78"/>
  <c r="F78"/>
  <c r="K78"/>
  <c r="G78"/>
  <c r="J78"/>
  <c r="H78"/>
  <c r="G54"/>
  <c r="F71" s="1"/>
  <c r="G53"/>
  <c r="F70" s="1"/>
  <c r="G52"/>
  <c r="J69" s="1"/>
  <c r="K70" l="1"/>
  <c r="G70"/>
  <c r="H69"/>
  <c r="K69"/>
  <c r="J70"/>
  <c r="J71"/>
  <c r="H71"/>
  <c r="I69"/>
  <c r="I71"/>
  <c r="G69"/>
  <c r="F69"/>
  <c r="I70"/>
  <c r="G71"/>
  <c r="K71"/>
  <c r="H70"/>
  <c r="H76"/>
  <c r="I76"/>
  <c r="K76"/>
  <c r="G76"/>
  <c r="J76"/>
  <c r="G64"/>
  <c r="F76"/>
  <c r="F81" s="1"/>
  <c r="H81" l="1"/>
  <c r="J81"/>
  <c r="I81"/>
  <c r="K81"/>
  <c r="G81"/>
  <c r="J82" l="1"/>
  <c r="K82"/>
  <c r="H82"/>
  <c r="F82"/>
  <c r="G82"/>
  <c r="I82"/>
</calcChain>
</file>

<file path=xl/sharedStrings.xml><?xml version="1.0" encoding="utf-8"?>
<sst xmlns="http://schemas.openxmlformats.org/spreadsheetml/2006/main" count="417" uniqueCount="107">
  <si>
    <t>Reference situation (floods occur)</t>
  </si>
  <si>
    <t>1. Conveyance</t>
  </si>
  <si>
    <t>2. Concentrated storage in nature area</t>
  </si>
  <si>
    <t>3. Distributed storage in the uptstream valley</t>
  </si>
  <si>
    <t>5. Non-structural measures</t>
  </si>
  <si>
    <t>4. Transboundary distributed storage in the uptstream valley</t>
  </si>
  <si>
    <t>Economic flood risk</t>
  </si>
  <si>
    <t>Social flood risk</t>
  </si>
  <si>
    <t>Flood impact to cultural heritage</t>
  </si>
  <si>
    <t>Investment and operating costs</t>
  </si>
  <si>
    <t>Impact from removing cultural heritage</t>
  </si>
  <si>
    <t># people relocated</t>
  </si>
  <si>
    <t># properties flooded with a cultural value</t>
  </si>
  <si>
    <t># properties demolished with a cultural value</t>
  </si>
  <si>
    <t>Score</t>
  </si>
  <si>
    <t>Criteria / Effects</t>
  </si>
  <si>
    <t>Social Flood Impact (SFI) score</t>
  </si>
  <si>
    <t>Impact in € to residential and non-residential properties, public utilities and related infrastructure, roads and railways and agriculture</t>
  </si>
  <si>
    <t>Impact to people based on the number of residents exposed, the extent to which their homes are exposed, their susceptability to flooding and their adaptive capacity</t>
  </si>
  <si>
    <t>Effect category</t>
  </si>
  <si>
    <t>Economic</t>
  </si>
  <si>
    <t>Social impact of expropriation</t>
  </si>
  <si>
    <t>Fatalities</t>
  </si>
  <si>
    <t>Social</t>
  </si>
  <si>
    <t>Environmental</t>
  </si>
  <si>
    <t>Cultural heritage</t>
  </si>
  <si>
    <t># deaths</t>
  </si>
  <si>
    <t>Number of people that died because of drowning</t>
  </si>
  <si>
    <t>Number of people that needs to be relocated</t>
  </si>
  <si>
    <t>258 + 1 UNESCO site</t>
  </si>
  <si>
    <t>219 + 1 UNESCO site</t>
  </si>
  <si>
    <t>Number of properties flooded with a cultural value in 'protected monuments equivalents'</t>
  </si>
  <si>
    <t>Costs</t>
  </si>
  <si>
    <t>Benefits</t>
  </si>
  <si>
    <t>Reducing Economic flood risk</t>
  </si>
  <si>
    <t>Reducing fatalities due to floods</t>
  </si>
  <si>
    <t>Co-Benefits</t>
  </si>
  <si>
    <t xml:space="preserve">Loss of agricultural production </t>
  </si>
  <si>
    <t>Ecosystem service benefits</t>
  </si>
  <si>
    <t>3. Distributed storage in the upstream valley</t>
  </si>
  <si>
    <t>4. Transboundary distributed storage in the upstream valley</t>
  </si>
  <si>
    <t>Timespan</t>
  </si>
  <si>
    <t>Discount rate</t>
  </si>
  <si>
    <t>Non-use values</t>
  </si>
  <si>
    <t>Value of fatalities</t>
  </si>
  <si>
    <t>€/ha</t>
  </si>
  <si>
    <t>€/ha wetland</t>
  </si>
  <si>
    <t>€/fatality</t>
  </si>
  <si>
    <t>Non use values</t>
  </si>
  <si>
    <t>50 years</t>
  </si>
  <si>
    <t>Economic growth</t>
  </si>
  <si>
    <t>Material flood risk</t>
  </si>
  <si>
    <t>Net benefits</t>
  </si>
  <si>
    <t>Ranking</t>
  </si>
  <si>
    <t>to be altered in discussions</t>
  </si>
  <si>
    <t>To include in CBA (0=no, 1 =yes)</t>
  </si>
  <si>
    <t>ha natural area affected (neg. Impact)</t>
  </si>
  <si>
    <t xml:space="preserve"> new natural area's with ecosystem benefits</t>
  </si>
  <si>
    <t>Background data on land use</t>
  </si>
  <si>
    <t>agricultural affeced</t>
  </si>
  <si>
    <t>€/ha wetland/year</t>
  </si>
  <si>
    <t>Ecological flood  risk</t>
  </si>
  <si>
    <t>Ecological Flood Impact (EFI) score</t>
  </si>
  <si>
    <t>Impact on ecology based on the number of hectares of specific vegetation types exposed, the extent to which these are exposed, their vulnerability to flooding and their biological value</t>
  </si>
  <si>
    <t>Environment</t>
  </si>
  <si>
    <t>(a)avoided risks minus costs</t>
  </si>
  <si>
    <t>(b) (a)+ecosystem benefits, excl.non-use</t>
  </si>
  <si>
    <t>(c) (b) plus non-use</t>
  </si>
  <si>
    <t>based on costs</t>
  </si>
  <si>
    <t>based on cost-benefit ratio</t>
  </si>
  <si>
    <t>(a) only accounting flood risk benefits</t>
  </si>
  <si>
    <t>(b) = (a) + ecosystem service benefits</t>
  </si>
  <si>
    <t xml:space="preserve">(c)= (b) + non-use values </t>
  </si>
  <si>
    <t>based on flood risk reduction</t>
  </si>
  <si>
    <t>only fatalities</t>
  </si>
  <si>
    <t>economic + fatalities</t>
  </si>
  <si>
    <t>sum (A+b)</t>
  </si>
  <si>
    <t>million €</t>
  </si>
  <si>
    <t>57 + 1 UNESCO site</t>
  </si>
  <si>
    <t>78 + 1 UNESCO site</t>
  </si>
  <si>
    <t>Impact in million € to residential and non-residential properties, public utilities and related infrastructure, roads and railways and agriculture</t>
  </si>
  <si>
    <t>Investment and opertaing costs in million €</t>
  </si>
  <si>
    <t>Opportunity cost of the loss of agricultural production in million € because of replacing agricultural production by wetlands</t>
  </si>
  <si>
    <t>Ecosystem servide benefits in million € from the creation of wetlands</t>
  </si>
  <si>
    <t>Non-use values in million € from the creation of wetlands</t>
  </si>
  <si>
    <t>Scenario 1</t>
  </si>
  <si>
    <t>Scenario 2</t>
  </si>
  <si>
    <t>Scenario 3</t>
  </si>
  <si>
    <t>Scenario 4</t>
  </si>
  <si>
    <t>Scenario 5</t>
  </si>
  <si>
    <t>Min</t>
  </si>
  <si>
    <t>Max</t>
  </si>
  <si>
    <t>Totaal (Totaal zou gelijk moeten zijn aan 1)</t>
  </si>
  <si>
    <t>Totale score</t>
  </si>
  <si>
    <t>Reference</t>
  </si>
  <si>
    <t>Min and Max criterionvalues</t>
  </si>
  <si>
    <t>Standardised decision matrix</t>
  </si>
  <si>
    <t>Negative</t>
  </si>
  <si>
    <t>Postive</t>
  </si>
  <si>
    <t>Decision matrix</t>
  </si>
  <si>
    <t>Standardisation</t>
  </si>
  <si>
    <t>Weights</t>
  </si>
  <si>
    <t>Rank</t>
  </si>
  <si>
    <t>ha</t>
  </si>
  <si>
    <t>Units</t>
  </si>
  <si>
    <t>Costs and benefits of scenario's</t>
  </si>
  <si>
    <t>Assumptions and Input data/ for cost/benfit: in €/ha</t>
  </si>
</sst>
</file>

<file path=xl/styles.xml><?xml version="1.0" encoding="utf-8"?>
<styleSheet xmlns="http://schemas.openxmlformats.org/spreadsheetml/2006/main">
  <numFmts count="4">
    <numFmt numFmtId="164" formatCode="0.0%"/>
    <numFmt numFmtId="165" formatCode="#,##0.0"/>
    <numFmt numFmtId="166" formatCode="0.0000"/>
    <numFmt numFmtId="167" formatCode="0.000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Verdan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1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9" fontId="0" fillId="0" borderId="0" xfId="0" applyNumberFormat="1"/>
    <xf numFmtId="164" fontId="0" fillId="0" borderId="0" xfId="0" applyNumberFormat="1"/>
    <xf numFmtId="0" fontId="1" fillId="0" borderId="1" xfId="0" applyFont="1" applyBorder="1"/>
    <xf numFmtId="0" fontId="3" fillId="0" borderId="1" xfId="0" applyFont="1" applyBorder="1"/>
    <xf numFmtId="3" fontId="0" fillId="0" borderId="1" xfId="0" applyNumberFormat="1" applyBorder="1"/>
    <xf numFmtId="0" fontId="0" fillId="3" borderId="0" xfId="0" applyFill="1"/>
    <xf numFmtId="3" fontId="0" fillId="3" borderId="2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4" xfId="0" applyBorder="1"/>
    <xf numFmtId="0" fontId="1" fillId="0" borderId="4" xfId="0" applyFont="1" applyBorder="1"/>
    <xf numFmtId="0" fontId="4" fillId="0" borderId="2" xfId="0" applyFont="1" applyBorder="1"/>
    <xf numFmtId="0" fontId="4" fillId="0" borderId="5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2" borderId="1" xfId="0" applyFill="1" applyBorder="1"/>
    <xf numFmtId="0" fontId="0" fillId="4" borderId="0" xfId="0" applyFill="1"/>
    <xf numFmtId="166" fontId="0" fillId="4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4" borderId="0" xfId="0" applyNumberFormat="1" applyFill="1"/>
    <xf numFmtId="2" fontId="0" fillId="0" borderId="0" xfId="0" applyNumberFormat="1"/>
    <xf numFmtId="0" fontId="6" fillId="5" borderId="6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8" fillId="0" borderId="0" xfId="0" applyFont="1"/>
    <xf numFmtId="166" fontId="0" fillId="0" borderId="0" xfId="0" applyNumberFormat="1" applyAlignment="1">
      <alignment horizontal="center"/>
    </xf>
    <xf numFmtId="0" fontId="9" fillId="0" borderId="0" xfId="0" applyFont="1"/>
    <xf numFmtId="2" fontId="9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7" fillId="4" borderId="0" xfId="0" applyFont="1" applyFill="1"/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Fill="1"/>
    <xf numFmtId="0" fontId="10" fillId="0" borderId="0" xfId="0" applyFont="1" applyFill="1"/>
    <xf numFmtId="166" fontId="10" fillId="0" borderId="0" xfId="0" applyNumberFormat="1" applyFont="1" applyAlignment="1">
      <alignment horizontal="center"/>
    </xf>
    <xf numFmtId="2" fontId="0" fillId="0" borderId="1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6" fontId="0" fillId="6" borderId="1" xfId="0" applyNumberFormat="1" applyFill="1" applyBorder="1" applyAlignment="1">
      <alignment horizontal="center"/>
    </xf>
    <xf numFmtId="0" fontId="1" fillId="7" borderId="0" xfId="0" applyFont="1" applyFill="1"/>
    <xf numFmtId="2" fontId="1" fillId="7" borderId="1" xfId="0" applyNumberFormat="1" applyFont="1" applyFill="1" applyBorder="1" applyAlignment="1">
      <alignment horizontal="center"/>
    </xf>
    <xf numFmtId="1" fontId="1" fillId="7" borderId="1" xfId="0" applyNumberFormat="1" applyFont="1" applyFill="1" applyBorder="1" applyAlignment="1">
      <alignment horizontal="center"/>
    </xf>
    <xf numFmtId="3" fontId="0" fillId="0" borderId="0" xfId="0" applyNumberFormat="1"/>
    <xf numFmtId="166" fontId="0" fillId="0" borderId="0" xfId="0" applyNumberFormat="1" applyFill="1" applyBorder="1" applyAlignment="1">
      <alignment horizontal="center"/>
    </xf>
    <xf numFmtId="0" fontId="0" fillId="8" borderId="0" xfId="0" applyFill="1"/>
    <xf numFmtId="0" fontId="0" fillId="8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4" fillId="0" borderId="1" xfId="0" applyFont="1" applyFill="1" applyBorder="1"/>
    <xf numFmtId="0" fontId="4" fillId="0" borderId="4" xfId="0" applyFont="1" applyFill="1" applyBorder="1"/>
    <xf numFmtId="0" fontId="4" fillId="0" borderId="2" xfId="0" applyFont="1" applyFill="1" applyBorder="1"/>
    <xf numFmtId="0" fontId="0" fillId="0" borderId="2" xfId="0" applyBorder="1"/>
    <xf numFmtId="0" fontId="4" fillId="0" borderId="5" xfId="0" quotePrefix="1" applyFont="1" applyFill="1" applyBorder="1"/>
    <xf numFmtId="0" fontId="0" fillId="0" borderId="5" xfId="0" applyBorder="1"/>
    <xf numFmtId="0" fontId="5" fillId="0" borderId="2" xfId="0" applyFont="1" applyFill="1" applyBorder="1"/>
    <xf numFmtId="0" fontId="5" fillId="0" borderId="5" xfId="0" applyFont="1" applyFill="1" applyBorder="1"/>
    <xf numFmtId="3" fontId="0" fillId="0" borderId="2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/>
    <xf numFmtId="0" fontId="3" fillId="0" borderId="2" xfId="0" applyFont="1" applyBorder="1"/>
    <xf numFmtId="2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8" borderId="0" xfId="0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5" xfId="0" quotePrefix="1" applyFont="1" applyFill="1" applyBorder="1" applyAlignment="1">
      <alignment horizontal="center"/>
    </xf>
    <xf numFmtId="0" fontId="2" fillId="0" borderId="1" xfId="0" applyFont="1" applyBorder="1"/>
    <xf numFmtId="0" fontId="12" fillId="0" borderId="1" xfId="0" applyFont="1" applyBorder="1"/>
    <xf numFmtId="0" fontId="11" fillId="3" borderId="2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plotArea>
      <c:layout>
        <c:manualLayout>
          <c:layoutTarget val="inner"/>
          <c:xMode val="edge"/>
          <c:yMode val="edge"/>
          <c:x val="0.11619191077659423"/>
          <c:y val="4.3303016702290323E-2"/>
          <c:w val="0.539950331708132"/>
          <c:h val="0.81096794647309955"/>
        </c:manualLayout>
      </c:layout>
      <c:barChart>
        <c:barDir val="col"/>
        <c:grouping val="stacked"/>
        <c:ser>
          <c:idx val="0"/>
          <c:order val="0"/>
          <c:tx>
            <c:strRef>
              <c:f>'MCA 1 - Basic'!$D$31</c:f>
              <c:strCache>
                <c:ptCount val="1"/>
                <c:pt idx="0">
                  <c:v>Material flood risk</c:v>
                </c:pt>
              </c:strCache>
            </c:strRef>
          </c:tx>
          <c:cat>
            <c:strRef>
              <c:f>'MCA 1 - Basic'!$F$29:$K$29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1 - Basic'!$F$31:$K$31</c:f>
              <c:numCache>
                <c:formatCode>0</c:formatCode>
                <c:ptCount val="6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</c:ser>
        <c:ser>
          <c:idx val="1"/>
          <c:order val="1"/>
          <c:tx>
            <c:strRef>
              <c:f>'MCA 1 - Basic'!$D$32</c:f>
              <c:strCache>
                <c:ptCount val="1"/>
                <c:pt idx="0">
                  <c:v>Investment and operating costs</c:v>
                </c:pt>
              </c:strCache>
            </c:strRef>
          </c:tx>
          <c:cat>
            <c:strRef>
              <c:f>'MCA 1 - Basic'!$F$29:$K$29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1 - Basic'!$F$32:$K$32</c:f>
              <c:numCache>
                <c:formatCode>0</c:formatCode>
                <c:ptCount val="6"/>
                <c:pt idx="0">
                  <c:v>6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</c:numCache>
            </c:numRef>
          </c:val>
        </c:ser>
        <c:ser>
          <c:idx val="2"/>
          <c:order val="2"/>
          <c:tx>
            <c:strRef>
              <c:f>'MCA 1 - Basic'!$D$33</c:f>
              <c:strCache>
                <c:ptCount val="1"/>
                <c:pt idx="0">
                  <c:v>Loss of agricultural production </c:v>
                </c:pt>
              </c:strCache>
            </c:strRef>
          </c:tx>
          <c:cat>
            <c:strRef>
              <c:f>'MCA 1 - Basic'!$F$29:$K$29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1 - Basic'!$F$33:$K$33</c:f>
              <c:numCache>
                <c:formatCode>0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</c:ser>
        <c:ser>
          <c:idx val="3"/>
          <c:order val="3"/>
          <c:tx>
            <c:strRef>
              <c:f>'MCA 1 - Basic'!$D$34</c:f>
              <c:strCache>
                <c:ptCount val="1"/>
                <c:pt idx="0">
                  <c:v>Social flood risk</c:v>
                </c:pt>
              </c:strCache>
            </c:strRef>
          </c:tx>
          <c:cat>
            <c:strRef>
              <c:f>'MCA 1 - Basic'!$F$29:$K$29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1 - Basic'!$F$34:$K$34</c:f>
              <c:numCache>
                <c:formatCode>0</c:formatCode>
                <c:ptCount val="6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</c:ser>
        <c:ser>
          <c:idx val="4"/>
          <c:order val="4"/>
          <c:tx>
            <c:strRef>
              <c:f>'MCA 1 - Basic'!$D$35</c:f>
              <c:strCache>
                <c:ptCount val="1"/>
                <c:pt idx="0">
                  <c:v>Fatalities</c:v>
                </c:pt>
              </c:strCache>
            </c:strRef>
          </c:tx>
          <c:cat>
            <c:strRef>
              <c:f>'MCA 1 - Basic'!$F$29:$K$29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1 - Basic'!$F$35:$K$35</c:f>
              <c:numCache>
                <c:formatCode>0</c:formatCode>
                <c:ptCount val="6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</c:numCache>
            </c:numRef>
          </c:val>
        </c:ser>
        <c:ser>
          <c:idx val="5"/>
          <c:order val="5"/>
          <c:tx>
            <c:strRef>
              <c:f>'MCA 1 - Basic'!$D$36</c:f>
              <c:strCache>
                <c:ptCount val="1"/>
                <c:pt idx="0">
                  <c:v>Social impact of expropriation</c:v>
                </c:pt>
              </c:strCache>
            </c:strRef>
          </c:tx>
          <c:cat>
            <c:strRef>
              <c:f>'MCA 1 - Basic'!$F$29:$K$29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1 - Basic'!$F$36:$K$36</c:f>
              <c:numCache>
                <c:formatCode>0</c:formatCode>
                <c:ptCount val="6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</c:ser>
        <c:ser>
          <c:idx val="6"/>
          <c:order val="6"/>
          <c:tx>
            <c:strRef>
              <c:f>'MCA 1 - Basic'!$D$37</c:f>
              <c:strCache>
                <c:ptCount val="1"/>
                <c:pt idx="0">
                  <c:v>Ecological flood  risk</c:v>
                </c:pt>
              </c:strCache>
            </c:strRef>
          </c:tx>
          <c:cat>
            <c:strRef>
              <c:f>'MCA 1 - Basic'!$F$29:$K$29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1 - Basic'!$F$37:$K$37</c:f>
              <c:numCache>
                <c:formatCode>0</c:formatCode>
                <c:ptCount val="6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</c:ser>
        <c:ser>
          <c:idx val="7"/>
          <c:order val="7"/>
          <c:tx>
            <c:strRef>
              <c:f>'MCA 1 - Basic'!$D$38</c:f>
              <c:strCache>
                <c:ptCount val="1"/>
                <c:pt idx="0">
                  <c:v>Ecosystem service benefits</c:v>
                </c:pt>
              </c:strCache>
            </c:strRef>
          </c:tx>
          <c:cat>
            <c:strRef>
              <c:f>'MCA 1 - Basic'!$F$29:$K$29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1 - Basic'!$F$38:$K$38</c:f>
              <c:numCache>
                <c:formatCode>0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6</c:v>
                </c:pt>
                <c:pt idx="5">
                  <c:v>1</c:v>
                </c:pt>
              </c:numCache>
            </c:numRef>
          </c:val>
        </c:ser>
        <c:ser>
          <c:idx val="8"/>
          <c:order val="8"/>
          <c:tx>
            <c:strRef>
              <c:f>'MCA 1 - Basic'!$D$39</c:f>
              <c:strCache>
                <c:ptCount val="1"/>
                <c:pt idx="0">
                  <c:v>Non-use values</c:v>
                </c:pt>
              </c:strCache>
            </c:strRef>
          </c:tx>
          <c:cat>
            <c:strRef>
              <c:f>'MCA 1 - Basic'!$F$29:$K$29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1 - Basic'!$F$39:$K$39</c:f>
              <c:numCache>
                <c:formatCode>0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6</c:v>
                </c:pt>
                <c:pt idx="5">
                  <c:v>1</c:v>
                </c:pt>
              </c:numCache>
            </c:numRef>
          </c:val>
        </c:ser>
        <c:ser>
          <c:idx val="9"/>
          <c:order val="9"/>
          <c:tx>
            <c:strRef>
              <c:f>'MCA 1 - Basic'!$D$40</c:f>
              <c:strCache>
                <c:ptCount val="1"/>
                <c:pt idx="0">
                  <c:v>Flood impact to cultural heritage</c:v>
                </c:pt>
              </c:strCache>
            </c:strRef>
          </c:tx>
          <c:cat>
            <c:strRef>
              <c:f>'MCA 1 - Basic'!$F$29:$K$29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1 - Basic'!$F$40:$K$40</c:f>
              <c:numCache>
                <c:formatCode>0</c:formatCode>
                <c:ptCount val="6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</c:ser>
        <c:ser>
          <c:idx val="10"/>
          <c:order val="10"/>
          <c:tx>
            <c:strRef>
              <c:f>'MCA 1 - Basic'!$D$41</c:f>
              <c:strCache>
                <c:ptCount val="1"/>
                <c:pt idx="0">
                  <c:v>Impact from removing cultural heritage</c:v>
                </c:pt>
              </c:strCache>
            </c:strRef>
          </c:tx>
          <c:cat>
            <c:strRef>
              <c:f>'MCA 1 - Basic'!$F$29:$K$29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1 - Basic'!$F$41:$K$41</c:f>
              <c:numCache>
                <c:formatCode>0</c:formatCode>
                <c:ptCount val="6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overlap val="100"/>
        <c:axId val="69058560"/>
        <c:axId val="69060096"/>
      </c:barChart>
      <c:catAx>
        <c:axId val="69058560"/>
        <c:scaling>
          <c:orientation val="minMax"/>
        </c:scaling>
        <c:axPos val="b"/>
        <c:tickLblPos val="nextTo"/>
        <c:txPr>
          <a:bodyPr/>
          <a:lstStyle/>
          <a:p>
            <a:pPr>
              <a:defRPr sz="1400"/>
            </a:pPr>
            <a:endParaRPr lang="nl-BE"/>
          </a:p>
        </c:txPr>
        <c:crossAx val="69060096"/>
        <c:crosses val="autoZero"/>
        <c:auto val="1"/>
        <c:lblAlgn val="ctr"/>
        <c:lblOffset val="100"/>
      </c:catAx>
      <c:valAx>
        <c:axId val="69060096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400"/>
            </a:pPr>
            <a:endParaRPr lang="nl-BE"/>
          </a:p>
        </c:txPr>
        <c:crossAx val="6905856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1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2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3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4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5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6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7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8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9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10"/>
        <c:txPr>
          <a:bodyPr/>
          <a:lstStyle/>
          <a:p>
            <a:pPr>
              <a:defRPr sz="1400"/>
            </a:pPr>
            <a:endParaRPr lang="nl-BE"/>
          </a:p>
        </c:txPr>
      </c:legendEntry>
      <c:layout>
        <c:manualLayout>
          <c:xMode val="edge"/>
          <c:yMode val="edge"/>
          <c:x val="0.6546150441764601"/>
          <c:y val="0.11659028669298103"/>
          <c:w val="0.33702987864479655"/>
          <c:h val="0.60581313021842065"/>
        </c:manualLayout>
      </c:layout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plotArea>
      <c:layout>
        <c:manualLayout>
          <c:layoutTarget val="inner"/>
          <c:xMode val="edge"/>
          <c:yMode val="edge"/>
          <c:x val="0.1161919107765942"/>
          <c:y val="4.3303016702290323E-2"/>
          <c:w val="0.539950331708132"/>
          <c:h val="0.81096794647309933"/>
        </c:manualLayout>
      </c:layout>
      <c:barChart>
        <c:barDir val="col"/>
        <c:grouping val="stacked"/>
        <c:ser>
          <c:idx val="0"/>
          <c:order val="0"/>
          <c:tx>
            <c:strRef>
              <c:f>'MCA 2 - Resident'!$D$69</c:f>
              <c:strCache>
                <c:ptCount val="1"/>
                <c:pt idx="0">
                  <c:v>Material flood risk</c:v>
                </c:pt>
              </c:strCache>
            </c:strRef>
          </c:tx>
          <c:cat>
            <c:strRef>
              <c:f>'MCA 2 - Resident'!$F$67:$K$67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2 - Resident'!$F$69:$K$69</c:f>
              <c:numCache>
                <c:formatCode>0.00</c:formatCode>
                <c:ptCount val="6"/>
                <c:pt idx="0">
                  <c:v>0</c:v>
                </c:pt>
                <c:pt idx="1">
                  <c:v>0.10934097978151029</c:v>
                </c:pt>
                <c:pt idx="2">
                  <c:v>0.13667622472688787</c:v>
                </c:pt>
                <c:pt idx="3">
                  <c:v>0.10934097978151029</c:v>
                </c:pt>
                <c:pt idx="4">
                  <c:v>8.2005734836132715E-2</c:v>
                </c:pt>
                <c:pt idx="5">
                  <c:v>5.4670489890754792E-2</c:v>
                </c:pt>
              </c:numCache>
            </c:numRef>
          </c:val>
        </c:ser>
        <c:ser>
          <c:idx val="1"/>
          <c:order val="1"/>
          <c:tx>
            <c:strRef>
              <c:f>'MCA 2 - Resident'!$D$70</c:f>
              <c:strCache>
                <c:ptCount val="1"/>
                <c:pt idx="0">
                  <c:v>Investment and operating costs</c:v>
                </c:pt>
              </c:strCache>
            </c:strRef>
          </c:tx>
          <c:cat>
            <c:strRef>
              <c:f>'MCA 2 - Resident'!$F$67:$K$67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2 - Resident'!$F$70:$K$70</c:f>
              <c:numCache>
                <c:formatCode>0.00</c:formatCode>
                <c:ptCount val="6"/>
                <c:pt idx="0">
                  <c:v>0.15770142808186874</c:v>
                </c:pt>
                <c:pt idx="1">
                  <c:v>0</c:v>
                </c:pt>
                <c:pt idx="2">
                  <c:v>8.812726863398547E-2</c:v>
                </c:pt>
                <c:pt idx="3">
                  <c:v>9.6824038564970891E-2</c:v>
                </c:pt>
                <c:pt idx="4">
                  <c:v>7.6531575392671594E-2</c:v>
                </c:pt>
                <c:pt idx="5">
                  <c:v>0.12581327166825559</c:v>
                </c:pt>
              </c:numCache>
            </c:numRef>
          </c:val>
        </c:ser>
        <c:ser>
          <c:idx val="2"/>
          <c:order val="2"/>
          <c:tx>
            <c:strRef>
              <c:f>'MCA 2 - Resident'!$D$71</c:f>
              <c:strCache>
                <c:ptCount val="1"/>
                <c:pt idx="0">
                  <c:v>Loss of agricultural production </c:v>
                </c:pt>
              </c:strCache>
            </c:strRef>
          </c:tx>
          <c:cat>
            <c:strRef>
              <c:f>'MCA 2 - Resident'!$F$67:$K$67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2 - Resident'!$F$71:$K$71</c:f>
              <c:numCache>
                <c:formatCode>0.00</c:formatCode>
                <c:ptCount val="6"/>
                <c:pt idx="0">
                  <c:v>6.9574159447883263E-3</c:v>
                </c:pt>
                <c:pt idx="1">
                  <c:v>6.9574159447883263E-3</c:v>
                </c:pt>
                <c:pt idx="2">
                  <c:v>6.9574159447883263E-3</c:v>
                </c:pt>
                <c:pt idx="3">
                  <c:v>1.7393539861970816E-3</c:v>
                </c:pt>
                <c:pt idx="4">
                  <c:v>0</c:v>
                </c:pt>
                <c:pt idx="5">
                  <c:v>6.9574159447883263E-3</c:v>
                </c:pt>
              </c:numCache>
            </c:numRef>
          </c:val>
        </c:ser>
        <c:ser>
          <c:idx val="3"/>
          <c:order val="3"/>
          <c:tx>
            <c:strRef>
              <c:f>'MCA 2 - Resident'!$D$72</c:f>
              <c:strCache>
                <c:ptCount val="1"/>
                <c:pt idx="0">
                  <c:v>Social flood risk</c:v>
                </c:pt>
              </c:strCache>
            </c:strRef>
          </c:tx>
          <c:cat>
            <c:strRef>
              <c:f>'MCA 2 - Resident'!$F$67:$K$67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2 - Resident'!$F$72:$K$72</c:f>
              <c:numCache>
                <c:formatCode>0.00</c:formatCode>
                <c:ptCount val="6"/>
                <c:pt idx="0">
                  <c:v>0</c:v>
                </c:pt>
                <c:pt idx="1">
                  <c:v>0.15941295487265705</c:v>
                </c:pt>
                <c:pt idx="2">
                  <c:v>0.2</c:v>
                </c:pt>
                <c:pt idx="3">
                  <c:v>0.15171030397257737</c:v>
                </c:pt>
                <c:pt idx="4">
                  <c:v>0.14697021111098987</c:v>
                </c:pt>
                <c:pt idx="5">
                  <c:v>0.1</c:v>
                </c:pt>
              </c:numCache>
            </c:numRef>
          </c:val>
        </c:ser>
        <c:ser>
          <c:idx val="4"/>
          <c:order val="4"/>
          <c:tx>
            <c:strRef>
              <c:f>'MCA 2 - Resident'!$D$73</c:f>
              <c:strCache>
                <c:ptCount val="1"/>
                <c:pt idx="0">
                  <c:v>Fatalities</c:v>
                </c:pt>
              </c:strCache>
            </c:strRef>
          </c:tx>
          <c:cat>
            <c:strRef>
              <c:f>'MCA 2 - Resident'!$F$67:$K$67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2 - Resident'!$F$73:$K$73</c:f>
              <c:numCache>
                <c:formatCode>0.00</c:formatCode>
                <c:ptCount val="6"/>
                <c:pt idx="0">
                  <c:v>0</c:v>
                </c:pt>
                <c:pt idx="1">
                  <c:v>0.15000000000000002</c:v>
                </c:pt>
                <c:pt idx="2">
                  <c:v>0.2</c:v>
                </c:pt>
                <c:pt idx="3">
                  <c:v>0.1</c:v>
                </c:pt>
                <c:pt idx="4">
                  <c:v>0.15000000000000002</c:v>
                </c:pt>
                <c:pt idx="5">
                  <c:v>0.1</c:v>
                </c:pt>
              </c:numCache>
            </c:numRef>
          </c:val>
        </c:ser>
        <c:ser>
          <c:idx val="5"/>
          <c:order val="5"/>
          <c:tx>
            <c:strRef>
              <c:f>'MCA 2 - Resident'!$D$74</c:f>
              <c:strCache>
                <c:ptCount val="1"/>
                <c:pt idx="0">
                  <c:v>Social impact of expropriation</c:v>
                </c:pt>
              </c:strCache>
            </c:strRef>
          </c:tx>
          <c:cat>
            <c:strRef>
              <c:f>'MCA 2 - Resident'!$F$67:$K$67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2 - Resident'!$F$74:$K$74</c:f>
              <c:numCache>
                <c:formatCode>0.00</c:formatCode>
                <c:ptCount val="6"/>
                <c:pt idx="0">
                  <c:v>0.1</c:v>
                </c:pt>
                <c:pt idx="1">
                  <c:v>0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9.4339622641509441E-2</c:v>
                </c:pt>
              </c:numCache>
            </c:numRef>
          </c:val>
        </c:ser>
        <c:ser>
          <c:idx val="6"/>
          <c:order val="6"/>
          <c:tx>
            <c:strRef>
              <c:f>'MCA 2 - Resident'!$D$75</c:f>
              <c:strCache>
                <c:ptCount val="1"/>
                <c:pt idx="0">
                  <c:v>Ecological flood  risk</c:v>
                </c:pt>
              </c:strCache>
            </c:strRef>
          </c:tx>
          <c:cat>
            <c:strRef>
              <c:f>'MCA 2 - Resident'!$F$67:$K$67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2 - Resident'!$F$75:$K$75</c:f>
              <c:numCache>
                <c:formatCode>0.00</c:formatCode>
                <c:ptCount val="6"/>
                <c:pt idx="0">
                  <c:v>0.02</c:v>
                </c:pt>
                <c:pt idx="1">
                  <c:v>0.02</c:v>
                </c:pt>
                <c:pt idx="2">
                  <c:v>0</c:v>
                </c:pt>
                <c:pt idx="3">
                  <c:v>1.1764705882352936E-2</c:v>
                </c:pt>
                <c:pt idx="4">
                  <c:v>1.6862745098039218E-2</c:v>
                </c:pt>
                <c:pt idx="5">
                  <c:v>0.02</c:v>
                </c:pt>
              </c:numCache>
            </c:numRef>
          </c:val>
        </c:ser>
        <c:ser>
          <c:idx val="7"/>
          <c:order val="7"/>
          <c:tx>
            <c:strRef>
              <c:f>'MCA 2 - Resident'!$D$76</c:f>
              <c:strCache>
                <c:ptCount val="1"/>
                <c:pt idx="0">
                  <c:v>Ecosystem service benefits</c:v>
                </c:pt>
              </c:strCache>
            </c:strRef>
          </c:tx>
          <c:cat>
            <c:strRef>
              <c:f>'MCA 2 - Resident'!$F$67:$K$67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2 - Resident'!$F$76:$K$76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2.9332465623227586E-2</c:v>
                </c:pt>
                <c:pt idx="4">
                  <c:v>5.8664931246455172E-2</c:v>
                </c:pt>
                <c:pt idx="5">
                  <c:v>0</c:v>
                </c:pt>
              </c:numCache>
            </c:numRef>
          </c:val>
        </c:ser>
        <c:ser>
          <c:idx val="8"/>
          <c:order val="8"/>
          <c:tx>
            <c:strRef>
              <c:f>'MCA 2 - Resident'!$D$77</c:f>
              <c:strCache>
                <c:ptCount val="1"/>
                <c:pt idx="0">
                  <c:v>Non-use values</c:v>
                </c:pt>
              </c:strCache>
            </c:strRef>
          </c:tx>
          <c:cat>
            <c:strRef>
              <c:f>'MCA 2 - Resident'!$F$67:$K$67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2 - Resident'!$F$77:$K$77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0.02</c:v>
                </c:pt>
                <c:pt idx="5">
                  <c:v>0</c:v>
                </c:pt>
              </c:numCache>
            </c:numRef>
          </c:val>
        </c:ser>
        <c:ser>
          <c:idx val="9"/>
          <c:order val="9"/>
          <c:tx>
            <c:strRef>
              <c:f>'MCA 2 - Resident'!$D$78</c:f>
              <c:strCache>
                <c:ptCount val="1"/>
                <c:pt idx="0">
                  <c:v>Flood impact to cultural heritage</c:v>
                </c:pt>
              </c:strCache>
            </c:strRef>
          </c:tx>
          <c:cat>
            <c:strRef>
              <c:f>'MCA 2 - Resident'!$F$67:$K$67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2 - Resident'!$F$78:$K$78</c:f>
              <c:numCache>
                <c:formatCode>0.00</c:formatCode>
                <c:ptCount val="6"/>
                <c:pt idx="0">
                  <c:v>0</c:v>
                </c:pt>
                <c:pt idx="1">
                  <c:v>3.7569832402234639E-2</c:v>
                </c:pt>
                <c:pt idx="2">
                  <c:v>0.05</c:v>
                </c:pt>
                <c:pt idx="3">
                  <c:v>2.8072625698324024E-2</c:v>
                </c:pt>
                <c:pt idx="4">
                  <c:v>2.5139664804469275E-2</c:v>
                </c:pt>
                <c:pt idx="5">
                  <c:v>5.4469273743016763E-3</c:v>
                </c:pt>
              </c:numCache>
            </c:numRef>
          </c:val>
        </c:ser>
        <c:ser>
          <c:idx val="10"/>
          <c:order val="10"/>
          <c:tx>
            <c:strRef>
              <c:f>'MCA 2 - Resident'!$D$79</c:f>
              <c:strCache>
                <c:ptCount val="1"/>
                <c:pt idx="0">
                  <c:v>Impact from removing cultural heritage</c:v>
                </c:pt>
              </c:strCache>
            </c:strRef>
          </c:tx>
          <c:cat>
            <c:strRef>
              <c:f>'MCA 2 - Resident'!$F$67:$K$67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2 - Resident'!$F$79:$K$79</c:f>
              <c:numCache>
                <c:formatCode>0.00</c:formatCode>
                <c:ptCount val="6"/>
                <c:pt idx="0">
                  <c:v>0.05</c:v>
                </c:pt>
                <c:pt idx="1">
                  <c:v>0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</c:numCache>
            </c:numRef>
          </c:val>
        </c:ser>
        <c:overlap val="100"/>
        <c:axId val="81369344"/>
        <c:axId val="81375232"/>
      </c:barChart>
      <c:catAx>
        <c:axId val="81369344"/>
        <c:scaling>
          <c:orientation val="minMax"/>
        </c:scaling>
        <c:axPos val="b"/>
        <c:tickLblPos val="nextTo"/>
        <c:txPr>
          <a:bodyPr/>
          <a:lstStyle/>
          <a:p>
            <a:pPr>
              <a:defRPr sz="1400"/>
            </a:pPr>
            <a:endParaRPr lang="nl-BE"/>
          </a:p>
        </c:txPr>
        <c:crossAx val="81375232"/>
        <c:crosses val="autoZero"/>
        <c:auto val="1"/>
        <c:lblAlgn val="ctr"/>
        <c:lblOffset val="100"/>
      </c:catAx>
      <c:valAx>
        <c:axId val="81375232"/>
        <c:scaling>
          <c:orientation val="minMax"/>
        </c:scaling>
        <c:axPos val="l"/>
        <c:majorGridlines/>
        <c:numFmt formatCode="0.00" sourceLinked="1"/>
        <c:tickLblPos val="nextTo"/>
        <c:txPr>
          <a:bodyPr/>
          <a:lstStyle/>
          <a:p>
            <a:pPr>
              <a:defRPr sz="1400"/>
            </a:pPr>
            <a:endParaRPr lang="nl-BE"/>
          </a:p>
        </c:txPr>
        <c:crossAx val="8136934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1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2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3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4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5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6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7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8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9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10"/>
        <c:txPr>
          <a:bodyPr/>
          <a:lstStyle/>
          <a:p>
            <a:pPr>
              <a:defRPr sz="1400"/>
            </a:pPr>
            <a:endParaRPr lang="nl-BE"/>
          </a:p>
        </c:txPr>
      </c:legendEntry>
      <c:layout>
        <c:manualLayout>
          <c:xMode val="edge"/>
          <c:yMode val="edge"/>
          <c:x val="0.65461504417645988"/>
          <c:y val="0.11659028669298103"/>
          <c:w val="0.33702987864479633"/>
          <c:h val="0.60581313021842043"/>
        </c:manualLayout>
      </c:layout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plotArea>
      <c:layout>
        <c:manualLayout>
          <c:layoutTarget val="inner"/>
          <c:xMode val="edge"/>
          <c:yMode val="edge"/>
          <c:x val="0.11619191077659423"/>
          <c:y val="4.3303016702290323E-2"/>
          <c:w val="0.539950331708132"/>
          <c:h val="0.81096794647309955"/>
        </c:manualLayout>
      </c:layout>
      <c:barChart>
        <c:barDir val="col"/>
        <c:grouping val="stacked"/>
        <c:ser>
          <c:idx val="0"/>
          <c:order val="0"/>
          <c:tx>
            <c:strRef>
              <c:f>'MCA 3 - Ecologist'!$D$69</c:f>
              <c:strCache>
                <c:ptCount val="1"/>
                <c:pt idx="0">
                  <c:v>Material flood risk</c:v>
                </c:pt>
              </c:strCache>
            </c:strRef>
          </c:tx>
          <c:cat>
            <c:strRef>
              <c:f>'MCA 3 - Ecologist'!$F$67:$K$67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3 - Ecologist'!$F$69:$K$69</c:f>
              <c:numCache>
                <c:formatCode>0.00</c:formatCode>
                <c:ptCount val="6"/>
                <c:pt idx="0">
                  <c:v>0</c:v>
                </c:pt>
                <c:pt idx="1">
                  <c:v>8.7085234573295076E-2</c:v>
                </c:pt>
                <c:pt idx="2">
                  <c:v>0.10885654321661885</c:v>
                </c:pt>
                <c:pt idx="3">
                  <c:v>8.7085234573295076E-2</c:v>
                </c:pt>
                <c:pt idx="4">
                  <c:v>6.5313925929971303E-2</c:v>
                </c:pt>
                <c:pt idx="5">
                  <c:v>4.354261728664726E-2</c:v>
                </c:pt>
              </c:numCache>
            </c:numRef>
          </c:val>
        </c:ser>
        <c:ser>
          <c:idx val="1"/>
          <c:order val="1"/>
          <c:tx>
            <c:strRef>
              <c:f>'MCA 3 - Ecologist'!$D$70</c:f>
              <c:strCache>
                <c:ptCount val="1"/>
                <c:pt idx="0">
                  <c:v>Investment and operating costs</c:v>
                </c:pt>
              </c:strCache>
            </c:strRef>
          </c:tx>
          <c:cat>
            <c:strRef>
              <c:f>'MCA 3 - Ecologist'!$F$67:$K$67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3 - Ecologist'!$F$70:$K$70</c:f>
              <c:numCache>
                <c:formatCode>0.00</c:formatCode>
                <c:ptCount val="6"/>
                <c:pt idx="0">
                  <c:v>0.12560218396154807</c:v>
                </c:pt>
                <c:pt idx="1">
                  <c:v>0</c:v>
                </c:pt>
                <c:pt idx="2">
                  <c:v>7.018945574321804E-2</c:v>
                </c:pt>
                <c:pt idx="3">
                  <c:v>7.7116046770509303E-2</c:v>
                </c:pt>
                <c:pt idx="4">
                  <c:v>6.0954001040163033E-2</c:v>
                </c:pt>
                <c:pt idx="5">
                  <c:v>0.10020468352814681</c:v>
                </c:pt>
              </c:numCache>
            </c:numRef>
          </c:val>
        </c:ser>
        <c:ser>
          <c:idx val="2"/>
          <c:order val="2"/>
          <c:tx>
            <c:strRef>
              <c:f>'MCA 3 - Ecologist'!$D$71</c:f>
              <c:strCache>
                <c:ptCount val="1"/>
                <c:pt idx="0">
                  <c:v>Loss of agricultural production </c:v>
                </c:pt>
              </c:strCache>
            </c:strRef>
          </c:tx>
          <c:cat>
            <c:strRef>
              <c:f>'MCA 3 - Ecologist'!$F$67:$K$67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3 - Ecologist'!$F$71:$K$71</c:f>
              <c:numCache>
                <c:formatCode>0.00</c:formatCode>
                <c:ptCount val="6"/>
                <c:pt idx="0">
                  <c:v>5.5412728218330026E-3</c:v>
                </c:pt>
                <c:pt idx="1">
                  <c:v>5.5412728218330026E-3</c:v>
                </c:pt>
                <c:pt idx="2">
                  <c:v>5.5412728218330026E-3</c:v>
                </c:pt>
                <c:pt idx="3">
                  <c:v>1.3853182054582506E-3</c:v>
                </c:pt>
                <c:pt idx="4">
                  <c:v>0</c:v>
                </c:pt>
                <c:pt idx="5">
                  <c:v>5.5412728218330026E-3</c:v>
                </c:pt>
              </c:numCache>
            </c:numRef>
          </c:val>
        </c:ser>
        <c:ser>
          <c:idx val="3"/>
          <c:order val="3"/>
          <c:tx>
            <c:strRef>
              <c:f>'MCA 3 - Ecologist'!$D$72</c:f>
              <c:strCache>
                <c:ptCount val="1"/>
                <c:pt idx="0">
                  <c:v>Social flood risk</c:v>
                </c:pt>
              </c:strCache>
            </c:strRef>
          </c:tx>
          <c:cat>
            <c:strRef>
              <c:f>'MCA 3 - Ecologist'!$F$67:$K$67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3 - Ecologist'!$F$72:$K$72</c:f>
              <c:numCache>
                <c:formatCode>0.00</c:formatCode>
                <c:ptCount val="6"/>
                <c:pt idx="0">
                  <c:v>0</c:v>
                </c:pt>
                <c:pt idx="1">
                  <c:v>3.9853238718164263E-2</c:v>
                </c:pt>
                <c:pt idx="2">
                  <c:v>0.05</c:v>
                </c:pt>
                <c:pt idx="3">
                  <c:v>3.7927575993144343E-2</c:v>
                </c:pt>
                <c:pt idx="4">
                  <c:v>3.6742552777747468E-2</c:v>
                </c:pt>
                <c:pt idx="5">
                  <c:v>2.5000000000000001E-2</c:v>
                </c:pt>
              </c:numCache>
            </c:numRef>
          </c:val>
        </c:ser>
        <c:ser>
          <c:idx val="4"/>
          <c:order val="4"/>
          <c:tx>
            <c:strRef>
              <c:f>'MCA 3 - Ecologist'!$D$73</c:f>
              <c:strCache>
                <c:ptCount val="1"/>
                <c:pt idx="0">
                  <c:v>Fatalities</c:v>
                </c:pt>
              </c:strCache>
            </c:strRef>
          </c:tx>
          <c:cat>
            <c:strRef>
              <c:f>'MCA 3 - Ecologist'!$F$67:$K$67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3 - Ecologist'!$F$73:$K$73</c:f>
              <c:numCache>
                <c:formatCode>0.00</c:formatCode>
                <c:ptCount val="6"/>
                <c:pt idx="0">
                  <c:v>0</c:v>
                </c:pt>
                <c:pt idx="1">
                  <c:v>3.7500000000000006E-2</c:v>
                </c:pt>
                <c:pt idx="2">
                  <c:v>0.05</c:v>
                </c:pt>
                <c:pt idx="3">
                  <c:v>2.5000000000000001E-2</c:v>
                </c:pt>
                <c:pt idx="4">
                  <c:v>3.7500000000000006E-2</c:v>
                </c:pt>
                <c:pt idx="5">
                  <c:v>2.5000000000000001E-2</c:v>
                </c:pt>
              </c:numCache>
            </c:numRef>
          </c:val>
        </c:ser>
        <c:ser>
          <c:idx val="5"/>
          <c:order val="5"/>
          <c:tx>
            <c:strRef>
              <c:f>'MCA 3 - Ecologist'!$D$74</c:f>
              <c:strCache>
                <c:ptCount val="1"/>
                <c:pt idx="0">
                  <c:v>Social impact of expropriation</c:v>
                </c:pt>
              </c:strCache>
            </c:strRef>
          </c:tx>
          <c:cat>
            <c:strRef>
              <c:f>'MCA 3 - Ecologist'!$F$67:$K$67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3 - Ecologist'!$F$74:$K$74</c:f>
              <c:numCache>
                <c:formatCode>0.00</c:formatCode>
                <c:ptCount val="6"/>
                <c:pt idx="0">
                  <c:v>0.02</c:v>
                </c:pt>
                <c:pt idx="1">
                  <c:v>0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1.8867924528301886E-2</c:v>
                </c:pt>
              </c:numCache>
            </c:numRef>
          </c:val>
        </c:ser>
        <c:ser>
          <c:idx val="6"/>
          <c:order val="6"/>
          <c:tx>
            <c:strRef>
              <c:f>'MCA 3 - Ecologist'!$D$75</c:f>
              <c:strCache>
                <c:ptCount val="1"/>
                <c:pt idx="0">
                  <c:v>Ecological flood  risk</c:v>
                </c:pt>
              </c:strCache>
            </c:strRef>
          </c:tx>
          <c:cat>
            <c:strRef>
              <c:f>'MCA 3 - Ecologist'!$F$67:$K$67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3 - Ecologist'!$F$75:$K$75</c:f>
              <c:numCache>
                <c:formatCode>0.00</c:formatCode>
                <c:ptCount val="6"/>
                <c:pt idx="0">
                  <c:v>0.2</c:v>
                </c:pt>
                <c:pt idx="1">
                  <c:v>0.2</c:v>
                </c:pt>
                <c:pt idx="2">
                  <c:v>0</c:v>
                </c:pt>
                <c:pt idx="3">
                  <c:v>0.11764705882352935</c:v>
                </c:pt>
                <c:pt idx="4">
                  <c:v>0.16862745098039217</c:v>
                </c:pt>
                <c:pt idx="5">
                  <c:v>0.2</c:v>
                </c:pt>
              </c:numCache>
            </c:numRef>
          </c:val>
        </c:ser>
        <c:ser>
          <c:idx val="7"/>
          <c:order val="7"/>
          <c:tx>
            <c:strRef>
              <c:f>'MCA 3 - Ecologist'!$D$76</c:f>
              <c:strCache>
                <c:ptCount val="1"/>
                <c:pt idx="0">
                  <c:v>Ecosystem service benefits</c:v>
                </c:pt>
              </c:strCache>
            </c:strRef>
          </c:tx>
          <c:cat>
            <c:strRef>
              <c:f>'MCA 3 - Ecologist'!$F$67:$K$67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3 - Ecologist'!$F$76:$K$76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  <c:pt idx="4">
                  <c:v>0.2</c:v>
                </c:pt>
                <c:pt idx="5">
                  <c:v>0</c:v>
                </c:pt>
              </c:numCache>
            </c:numRef>
          </c:val>
        </c:ser>
        <c:ser>
          <c:idx val="8"/>
          <c:order val="8"/>
          <c:tx>
            <c:strRef>
              <c:f>'MCA 3 - Ecologist'!$D$77</c:f>
              <c:strCache>
                <c:ptCount val="1"/>
                <c:pt idx="0">
                  <c:v>Non-use values</c:v>
                </c:pt>
              </c:strCache>
            </c:strRef>
          </c:tx>
          <c:cat>
            <c:strRef>
              <c:f>'MCA 3 - Ecologist'!$F$67:$K$67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3 - Ecologist'!$F$77:$K$77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  <c:pt idx="4">
                  <c:v>0.2</c:v>
                </c:pt>
                <c:pt idx="5">
                  <c:v>0</c:v>
                </c:pt>
              </c:numCache>
            </c:numRef>
          </c:val>
        </c:ser>
        <c:ser>
          <c:idx val="9"/>
          <c:order val="9"/>
          <c:tx>
            <c:strRef>
              <c:f>'MCA 3 - Ecologist'!$D$78</c:f>
              <c:strCache>
                <c:ptCount val="1"/>
                <c:pt idx="0">
                  <c:v>Flood impact to cultural heritage</c:v>
                </c:pt>
              </c:strCache>
            </c:strRef>
          </c:tx>
          <c:cat>
            <c:strRef>
              <c:f>'MCA 3 - Ecologist'!$F$67:$K$67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3 - Ecologist'!$F$78:$K$78</c:f>
              <c:numCache>
                <c:formatCode>0.00</c:formatCode>
                <c:ptCount val="6"/>
                <c:pt idx="0">
                  <c:v>0</c:v>
                </c:pt>
                <c:pt idx="1">
                  <c:v>1.5027932960893855E-2</c:v>
                </c:pt>
                <c:pt idx="2">
                  <c:v>0.02</c:v>
                </c:pt>
                <c:pt idx="3">
                  <c:v>1.1229050279329609E-2</c:v>
                </c:pt>
                <c:pt idx="4">
                  <c:v>1.0055865921787711E-2</c:v>
                </c:pt>
                <c:pt idx="5">
                  <c:v>2.1787709497206702E-3</c:v>
                </c:pt>
              </c:numCache>
            </c:numRef>
          </c:val>
        </c:ser>
        <c:ser>
          <c:idx val="10"/>
          <c:order val="10"/>
          <c:tx>
            <c:strRef>
              <c:f>'MCA 3 - Ecologist'!$D$79</c:f>
              <c:strCache>
                <c:ptCount val="1"/>
                <c:pt idx="0">
                  <c:v>Impact from removing cultural heritage</c:v>
                </c:pt>
              </c:strCache>
            </c:strRef>
          </c:tx>
          <c:cat>
            <c:strRef>
              <c:f>'MCA 3 - Ecologist'!$F$67:$K$67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3 - Ecologist'!$F$79:$K$79</c:f>
              <c:numCache>
                <c:formatCode>0.00</c:formatCode>
                <c:ptCount val="6"/>
                <c:pt idx="0">
                  <c:v>0.02</c:v>
                </c:pt>
                <c:pt idx="1">
                  <c:v>0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</c:numCache>
            </c:numRef>
          </c:val>
        </c:ser>
        <c:overlap val="100"/>
        <c:axId val="81412096"/>
        <c:axId val="81413632"/>
      </c:barChart>
      <c:catAx>
        <c:axId val="81412096"/>
        <c:scaling>
          <c:orientation val="minMax"/>
        </c:scaling>
        <c:axPos val="b"/>
        <c:tickLblPos val="nextTo"/>
        <c:txPr>
          <a:bodyPr/>
          <a:lstStyle/>
          <a:p>
            <a:pPr>
              <a:defRPr sz="1400"/>
            </a:pPr>
            <a:endParaRPr lang="nl-BE"/>
          </a:p>
        </c:txPr>
        <c:crossAx val="81413632"/>
        <c:crosses val="autoZero"/>
        <c:auto val="1"/>
        <c:lblAlgn val="ctr"/>
        <c:lblOffset val="100"/>
      </c:catAx>
      <c:valAx>
        <c:axId val="81413632"/>
        <c:scaling>
          <c:orientation val="minMax"/>
        </c:scaling>
        <c:axPos val="l"/>
        <c:majorGridlines/>
        <c:numFmt formatCode="0.00" sourceLinked="1"/>
        <c:tickLblPos val="nextTo"/>
        <c:txPr>
          <a:bodyPr/>
          <a:lstStyle/>
          <a:p>
            <a:pPr>
              <a:defRPr sz="1400"/>
            </a:pPr>
            <a:endParaRPr lang="nl-BE"/>
          </a:p>
        </c:txPr>
        <c:crossAx val="8141209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1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2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3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4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5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6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7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8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9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10"/>
        <c:txPr>
          <a:bodyPr/>
          <a:lstStyle/>
          <a:p>
            <a:pPr>
              <a:defRPr sz="1400"/>
            </a:pPr>
            <a:endParaRPr lang="nl-BE"/>
          </a:p>
        </c:txPr>
      </c:legendEntry>
      <c:layout>
        <c:manualLayout>
          <c:xMode val="edge"/>
          <c:yMode val="edge"/>
          <c:x val="0.6546150441764601"/>
          <c:y val="0.11659028669298103"/>
          <c:w val="0.33702987864479655"/>
          <c:h val="0.60581313021842065"/>
        </c:manualLayout>
      </c:layout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plotArea>
      <c:layout>
        <c:manualLayout>
          <c:layoutTarget val="inner"/>
          <c:xMode val="edge"/>
          <c:yMode val="edge"/>
          <c:x val="0.11619191077659423"/>
          <c:y val="4.3303016702290323E-2"/>
          <c:w val="0.539950331708132"/>
          <c:h val="0.81096794647309955"/>
        </c:manualLayout>
      </c:layout>
      <c:barChart>
        <c:barDir val="col"/>
        <c:grouping val="stacked"/>
        <c:ser>
          <c:idx val="0"/>
          <c:order val="0"/>
          <c:tx>
            <c:strRef>
              <c:f>'MCA 4 - Insurer'!$D$69</c:f>
              <c:strCache>
                <c:ptCount val="1"/>
                <c:pt idx="0">
                  <c:v>Material flood risk</c:v>
                </c:pt>
              </c:strCache>
            </c:strRef>
          </c:tx>
          <c:cat>
            <c:strRef>
              <c:f>'MCA 4 - Insurer'!$F$67:$K$67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4 - Insurer'!$F$69:$K$69</c:f>
              <c:numCache>
                <c:formatCode>0.00</c:formatCode>
                <c:ptCount val="6"/>
                <c:pt idx="0">
                  <c:v>0</c:v>
                </c:pt>
                <c:pt idx="1">
                  <c:v>0.2126074606862699</c:v>
                </c:pt>
                <c:pt idx="2">
                  <c:v>0.2657593258578374</c:v>
                </c:pt>
                <c:pt idx="3">
                  <c:v>0.2126074606862699</c:v>
                </c:pt>
                <c:pt idx="4">
                  <c:v>0.15945559551470243</c:v>
                </c:pt>
                <c:pt idx="5">
                  <c:v>0.10630373034313427</c:v>
                </c:pt>
              </c:numCache>
            </c:numRef>
          </c:val>
        </c:ser>
        <c:ser>
          <c:idx val="1"/>
          <c:order val="1"/>
          <c:tx>
            <c:strRef>
              <c:f>'MCA 4 - Insurer'!$D$70</c:f>
              <c:strCache>
                <c:ptCount val="1"/>
                <c:pt idx="0">
                  <c:v>Investment and operating costs</c:v>
                </c:pt>
              </c:strCache>
            </c:strRef>
          </c:tx>
          <c:cat>
            <c:strRef>
              <c:f>'MCA 4 - Insurer'!$F$67:$K$67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4 - Insurer'!$F$70:$K$70</c:f>
              <c:numCache>
                <c:formatCode>0.00</c:formatCode>
                <c:ptCount val="6"/>
                <c:pt idx="0">
                  <c:v>0.30664166571474466</c:v>
                </c:pt>
                <c:pt idx="1">
                  <c:v>0</c:v>
                </c:pt>
                <c:pt idx="2">
                  <c:v>0.17135857789941614</c:v>
                </c:pt>
                <c:pt idx="3">
                  <c:v>0.18826896387633221</c:v>
                </c:pt>
                <c:pt idx="4">
                  <c:v>0.14881139659686138</c:v>
                </c:pt>
                <c:pt idx="5">
                  <c:v>0.2446369171327191</c:v>
                </c:pt>
              </c:numCache>
            </c:numRef>
          </c:val>
        </c:ser>
        <c:ser>
          <c:idx val="2"/>
          <c:order val="2"/>
          <c:tx>
            <c:strRef>
              <c:f>'MCA 4 - Insurer'!$D$71</c:f>
              <c:strCache>
                <c:ptCount val="1"/>
                <c:pt idx="0">
                  <c:v>Loss of agricultural production </c:v>
                </c:pt>
              </c:strCache>
            </c:strRef>
          </c:tx>
          <c:cat>
            <c:strRef>
              <c:f>'MCA 4 - Insurer'!$F$67:$K$67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4 - Insurer'!$F$71:$K$71</c:f>
              <c:numCache>
                <c:formatCode>0.00</c:formatCode>
                <c:ptCount val="6"/>
                <c:pt idx="0">
                  <c:v>1.3528308781532852E-2</c:v>
                </c:pt>
                <c:pt idx="1">
                  <c:v>1.3528308781532852E-2</c:v>
                </c:pt>
                <c:pt idx="2">
                  <c:v>1.3528308781532852E-2</c:v>
                </c:pt>
                <c:pt idx="3">
                  <c:v>3.3820771953832129E-3</c:v>
                </c:pt>
                <c:pt idx="4">
                  <c:v>0</c:v>
                </c:pt>
                <c:pt idx="5">
                  <c:v>1.3528308781532852E-2</c:v>
                </c:pt>
              </c:numCache>
            </c:numRef>
          </c:val>
        </c:ser>
        <c:ser>
          <c:idx val="3"/>
          <c:order val="3"/>
          <c:tx>
            <c:strRef>
              <c:f>'MCA 4 - Insurer'!$D$72</c:f>
              <c:strCache>
                <c:ptCount val="1"/>
                <c:pt idx="0">
                  <c:v>Social flood risk</c:v>
                </c:pt>
              </c:strCache>
            </c:strRef>
          </c:tx>
          <c:cat>
            <c:strRef>
              <c:f>'MCA 4 - Insurer'!$F$67:$K$67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4 - Insurer'!$F$72:$K$72</c:f>
              <c:numCache>
                <c:formatCode>0.00</c:formatCode>
                <c:ptCount val="6"/>
                <c:pt idx="0">
                  <c:v>0</c:v>
                </c:pt>
                <c:pt idx="1">
                  <c:v>3.9853238718164263E-2</c:v>
                </c:pt>
                <c:pt idx="2">
                  <c:v>0.05</c:v>
                </c:pt>
                <c:pt idx="3">
                  <c:v>3.7927575993144343E-2</c:v>
                </c:pt>
                <c:pt idx="4">
                  <c:v>3.6742552777747468E-2</c:v>
                </c:pt>
                <c:pt idx="5">
                  <c:v>2.5000000000000001E-2</c:v>
                </c:pt>
              </c:numCache>
            </c:numRef>
          </c:val>
        </c:ser>
        <c:ser>
          <c:idx val="4"/>
          <c:order val="4"/>
          <c:tx>
            <c:strRef>
              <c:f>'MCA 4 - Insurer'!$D$73</c:f>
              <c:strCache>
                <c:ptCount val="1"/>
                <c:pt idx="0">
                  <c:v>Fatalities</c:v>
                </c:pt>
              </c:strCache>
            </c:strRef>
          </c:tx>
          <c:cat>
            <c:strRef>
              <c:f>'MCA 4 - Insurer'!$F$67:$K$67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4 - Insurer'!$F$73:$K$73</c:f>
              <c:numCache>
                <c:formatCode>0.00</c:formatCode>
                <c:ptCount val="6"/>
                <c:pt idx="0">
                  <c:v>0</c:v>
                </c:pt>
                <c:pt idx="1">
                  <c:v>0.15000000000000002</c:v>
                </c:pt>
                <c:pt idx="2">
                  <c:v>0.2</c:v>
                </c:pt>
                <c:pt idx="3">
                  <c:v>0.1</c:v>
                </c:pt>
                <c:pt idx="4">
                  <c:v>0.15000000000000002</c:v>
                </c:pt>
                <c:pt idx="5">
                  <c:v>0.1</c:v>
                </c:pt>
              </c:numCache>
            </c:numRef>
          </c:val>
        </c:ser>
        <c:ser>
          <c:idx val="5"/>
          <c:order val="5"/>
          <c:tx>
            <c:strRef>
              <c:f>'MCA 4 - Insurer'!$D$74</c:f>
              <c:strCache>
                <c:ptCount val="1"/>
                <c:pt idx="0">
                  <c:v>Social impact of expropriation</c:v>
                </c:pt>
              </c:strCache>
            </c:strRef>
          </c:tx>
          <c:cat>
            <c:strRef>
              <c:f>'MCA 4 - Insurer'!$F$67:$K$67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4 - Insurer'!$F$74:$K$74</c:f>
              <c:numCache>
                <c:formatCode>0.00</c:formatCode>
                <c:ptCount val="6"/>
                <c:pt idx="0">
                  <c:v>0.01</c:v>
                </c:pt>
                <c:pt idx="1">
                  <c:v>0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9.433962264150943E-3</c:v>
                </c:pt>
              </c:numCache>
            </c:numRef>
          </c:val>
        </c:ser>
        <c:ser>
          <c:idx val="6"/>
          <c:order val="6"/>
          <c:tx>
            <c:strRef>
              <c:f>'MCA 4 - Insurer'!$D$75</c:f>
              <c:strCache>
                <c:ptCount val="1"/>
                <c:pt idx="0">
                  <c:v>Ecological flood  risk</c:v>
                </c:pt>
              </c:strCache>
            </c:strRef>
          </c:tx>
          <c:cat>
            <c:strRef>
              <c:f>'MCA 4 - Insurer'!$F$67:$K$67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4 - Insurer'!$F$75:$K$75</c:f>
              <c:numCache>
                <c:formatCode>0.00</c:formatCode>
                <c:ptCount val="6"/>
                <c:pt idx="0">
                  <c:v>0.01</c:v>
                </c:pt>
                <c:pt idx="1">
                  <c:v>0.01</c:v>
                </c:pt>
                <c:pt idx="2">
                  <c:v>0</c:v>
                </c:pt>
                <c:pt idx="3">
                  <c:v>5.8823529411764679E-3</c:v>
                </c:pt>
                <c:pt idx="4">
                  <c:v>8.4313725490196088E-3</c:v>
                </c:pt>
                <c:pt idx="5">
                  <c:v>0.01</c:v>
                </c:pt>
              </c:numCache>
            </c:numRef>
          </c:val>
        </c:ser>
        <c:ser>
          <c:idx val="7"/>
          <c:order val="7"/>
          <c:tx>
            <c:strRef>
              <c:f>'MCA 4 - Insurer'!$D$76</c:f>
              <c:strCache>
                <c:ptCount val="1"/>
                <c:pt idx="0">
                  <c:v>Ecosystem service benefits</c:v>
                </c:pt>
              </c:strCache>
            </c:strRef>
          </c:tx>
          <c:cat>
            <c:strRef>
              <c:f>'MCA 4 - Insurer'!$F$67:$K$67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4 - Insurer'!$F$76:$K$76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5.7035349822942512E-2</c:v>
                </c:pt>
                <c:pt idx="4">
                  <c:v>0.11407069964588502</c:v>
                </c:pt>
                <c:pt idx="5">
                  <c:v>0</c:v>
                </c:pt>
              </c:numCache>
            </c:numRef>
          </c:val>
        </c:ser>
        <c:ser>
          <c:idx val="8"/>
          <c:order val="8"/>
          <c:tx>
            <c:strRef>
              <c:f>'MCA 4 - Insurer'!$D$77</c:f>
              <c:strCache>
                <c:ptCount val="1"/>
                <c:pt idx="0">
                  <c:v>Non-use values</c:v>
                </c:pt>
              </c:strCache>
            </c:strRef>
          </c:tx>
          <c:cat>
            <c:strRef>
              <c:f>'MCA 4 - Insurer'!$F$67:$K$67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4 - Insurer'!$F$77:$K$77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5.0000000000000001E-3</c:v>
                </c:pt>
                <c:pt idx="4">
                  <c:v>0.01</c:v>
                </c:pt>
                <c:pt idx="5">
                  <c:v>0</c:v>
                </c:pt>
              </c:numCache>
            </c:numRef>
          </c:val>
        </c:ser>
        <c:ser>
          <c:idx val="9"/>
          <c:order val="9"/>
          <c:tx>
            <c:strRef>
              <c:f>'MCA 4 - Insurer'!$D$78</c:f>
              <c:strCache>
                <c:ptCount val="1"/>
                <c:pt idx="0">
                  <c:v>Flood impact to cultural heritage</c:v>
                </c:pt>
              </c:strCache>
            </c:strRef>
          </c:tx>
          <c:cat>
            <c:strRef>
              <c:f>'MCA 4 - Insurer'!$F$67:$K$67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4 - Insurer'!$F$78:$K$78</c:f>
              <c:numCache>
                <c:formatCode>0.00</c:formatCode>
                <c:ptCount val="6"/>
                <c:pt idx="0">
                  <c:v>0</c:v>
                </c:pt>
                <c:pt idx="1">
                  <c:v>7.5139664804469274E-3</c:v>
                </c:pt>
                <c:pt idx="2">
                  <c:v>0.01</c:v>
                </c:pt>
                <c:pt idx="3">
                  <c:v>5.6145251396648044E-3</c:v>
                </c:pt>
                <c:pt idx="4">
                  <c:v>5.0279329608938555E-3</c:v>
                </c:pt>
                <c:pt idx="5">
                  <c:v>1.0893854748603351E-3</c:v>
                </c:pt>
              </c:numCache>
            </c:numRef>
          </c:val>
        </c:ser>
        <c:ser>
          <c:idx val="10"/>
          <c:order val="10"/>
          <c:tx>
            <c:strRef>
              <c:f>'MCA 4 - Insurer'!$D$79</c:f>
              <c:strCache>
                <c:ptCount val="1"/>
                <c:pt idx="0">
                  <c:v>Impact from removing cultural heritage</c:v>
                </c:pt>
              </c:strCache>
            </c:strRef>
          </c:tx>
          <c:cat>
            <c:strRef>
              <c:f>'MCA 4 - Insurer'!$F$67:$K$67</c:f>
              <c:strCache>
                <c:ptCount val="6"/>
                <c:pt idx="0">
                  <c:v>Reference</c:v>
                </c:pt>
                <c:pt idx="1">
                  <c:v>Scenario 1</c:v>
                </c:pt>
                <c:pt idx="2">
                  <c:v>Scenario 2</c:v>
                </c:pt>
                <c:pt idx="3">
                  <c:v>Scenario 3</c:v>
                </c:pt>
                <c:pt idx="4">
                  <c:v>Scenario 4</c:v>
                </c:pt>
                <c:pt idx="5">
                  <c:v>Scenario 5</c:v>
                </c:pt>
              </c:strCache>
            </c:strRef>
          </c:cat>
          <c:val>
            <c:numRef>
              <c:f>'MCA 4 - Insurer'!$F$79:$K$79</c:f>
              <c:numCache>
                <c:formatCode>0.00</c:formatCode>
                <c:ptCount val="6"/>
                <c:pt idx="0">
                  <c:v>0.01</c:v>
                </c:pt>
                <c:pt idx="1">
                  <c:v>0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</c:numCache>
            </c:numRef>
          </c:val>
        </c:ser>
        <c:overlap val="100"/>
        <c:axId val="82712064"/>
        <c:axId val="82713600"/>
      </c:barChart>
      <c:catAx>
        <c:axId val="82712064"/>
        <c:scaling>
          <c:orientation val="minMax"/>
        </c:scaling>
        <c:axPos val="b"/>
        <c:tickLblPos val="nextTo"/>
        <c:txPr>
          <a:bodyPr/>
          <a:lstStyle/>
          <a:p>
            <a:pPr>
              <a:defRPr sz="1400"/>
            </a:pPr>
            <a:endParaRPr lang="nl-BE"/>
          </a:p>
        </c:txPr>
        <c:crossAx val="82713600"/>
        <c:crosses val="autoZero"/>
        <c:auto val="1"/>
        <c:lblAlgn val="ctr"/>
        <c:lblOffset val="100"/>
      </c:catAx>
      <c:valAx>
        <c:axId val="82713600"/>
        <c:scaling>
          <c:orientation val="minMax"/>
        </c:scaling>
        <c:axPos val="l"/>
        <c:majorGridlines/>
        <c:numFmt formatCode="0.00" sourceLinked="1"/>
        <c:tickLblPos val="nextTo"/>
        <c:txPr>
          <a:bodyPr/>
          <a:lstStyle/>
          <a:p>
            <a:pPr>
              <a:defRPr sz="1400"/>
            </a:pPr>
            <a:endParaRPr lang="nl-BE"/>
          </a:p>
        </c:txPr>
        <c:crossAx val="8271206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1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2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3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4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5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6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7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8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9"/>
        <c:txPr>
          <a:bodyPr/>
          <a:lstStyle/>
          <a:p>
            <a:pPr>
              <a:defRPr sz="1400"/>
            </a:pPr>
            <a:endParaRPr lang="nl-BE"/>
          </a:p>
        </c:txPr>
      </c:legendEntry>
      <c:legendEntry>
        <c:idx val="10"/>
        <c:txPr>
          <a:bodyPr/>
          <a:lstStyle/>
          <a:p>
            <a:pPr>
              <a:defRPr sz="1400"/>
            </a:pPr>
            <a:endParaRPr lang="nl-BE"/>
          </a:p>
        </c:txPr>
      </c:legendEntry>
      <c:layout>
        <c:manualLayout>
          <c:xMode val="edge"/>
          <c:yMode val="edge"/>
          <c:x val="0.6546150441764601"/>
          <c:y val="0.11659028669298103"/>
          <c:w val="0.33702987864479655"/>
          <c:h val="0.60581313021842065"/>
        </c:manualLayout>
      </c:layout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226218</xdr:colOff>
      <xdr:row>46</xdr:row>
      <xdr:rowOff>83344</xdr:rowOff>
    </xdr:from>
    <xdr:to>
      <xdr:col>11</xdr:col>
      <xdr:colOff>119063</xdr:colOff>
      <xdr:row>76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0.55834</cdr:x>
      <cdr:y>0.93291</cdr:y>
    </cdr:from>
    <cdr:to>
      <cdr:x>0.65649</cdr:x>
      <cdr:y>0.98113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96001" y="5298281"/>
          <a:ext cx="1071562" cy="273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BE" sz="1600" b="1"/>
            <a:t>Scenario's</a:t>
          </a:r>
        </a:p>
      </cdr:txBody>
    </cdr:sp>
  </cdr:relSizeAnchor>
  <cdr:relSizeAnchor xmlns:cdr="http://schemas.openxmlformats.org/drawingml/2006/chartDrawing">
    <cdr:from>
      <cdr:x>0.012</cdr:x>
      <cdr:y>0.01258</cdr:y>
    </cdr:from>
    <cdr:to>
      <cdr:x>0.04907</cdr:x>
      <cdr:y>0.27883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30969" y="71435"/>
          <a:ext cx="404813" cy="1512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nl-BE" sz="1600" b="1"/>
            <a:t>Scenario</a:t>
          </a:r>
          <a:r>
            <a:rPr lang="nl-BE" sz="1600" b="1" baseline="0"/>
            <a:t> scores</a:t>
          </a:r>
          <a:endParaRPr lang="nl-BE" sz="16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226218</xdr:colOff>
      <xdr:row>84</xdr:row>
      <xdr:rowOff>83344</xdr:rowOff>
    </xdr:from>
    <xdr:to>
      <xdr:col>11</xdr:col>
      <xdr:colOff>119063</xdr:colOff>
      <xdr:row>114</xdr:row>
      <xdr:rowOff>47625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0.55834</cdr:x>
      <cdr:y>0.93291</cdr:y>
    </cdr:from>
    <cdr:to>
      <cdr:x>0.65649</cdr:x>
      <cdr:y>0.98113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96001" y="5298281"/>
          <a:ext cx="1071562" cy="273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BE" sz="1600" b="1"/>
            <a:t>Scenario's</a:t>
          </a:r>
        </a:p>
      </cdr:txBody>
    </cdr:sp>
  </cdr:relSizeAnchor>
  <cdr:relSizeAnchor xmlns:cdr="http://schemas.openxmlformats.org/drawingml/2006/chartDrawing">
    <cdr:from>
      <cdr:x>0.012</cdr:x>
      <cdr:y>0.01258</cdr:y>
    </cdr:from>
    <cdr:to>
      <cdr:x>0.04907</cdr:x>
      <cdr:y>0.27883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30969" y="71435"/>
          <a:ext cx="404813" cy="1512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nl-BE" sz="1600" b="1"/>
            <a:t>Scenario</a:t>
          </a:r>
          <a:r>
            <a:rPr lang="nl-BE" sz="1600" b="1" baseline="0"/>
            <a:t> scores</a:t>
          </a:r>
          <a:endParaRPr lang="nl-BE" sz="16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226218</xdr:colOff>
      <xdr:row>84</xdr:row>
      <xdr:rowOff>83344</xdr:rowOff>
    </xdr:from>
    <xdr:to>
      <xdr:col>11</xdr:col>
      <xdr:colOff>119063</xdr:colOff>
      <xdr:row>114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0.55834</cdr:x>
      <cdr:y>0.93291</cdr:y>
    </cdr:from>
    <cdr:to>
      <cdr:x>0.65649</cdr:x>
      <cdr:y>0.98113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96001" y="5298281"/>
          <a:ext cx="1071562" cy="273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BE" sz="1600" b="1"/>
            <a:t>Scenario's</a:t>
          </a:r>
        </a:p>
      </cdr:txBody>
    </cdr:sp>
  </cdr:relSizeAnchor>
  <cdr:relSizeAnchor xmlns:cdr="http://schemas.openxmlformats.org/drawingml/2006/chartDrawing">
    <cdr:from>
      <cdr:x>0.012</cdr:x>
      <cdr:y>0.01258</cdr:y>
    </cdr:from>
    <cdr:to>
      <cdr:x>0.04907</cdr:x>
      <cdr:y>0.27883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30969" y="71435"/>
          <a:ext cx="404813" cy="1512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nl-BE" sz="1600" b="1"/>
            <a:t>Scenario</a:t>
          </a:r>
          <a:r>
            <a:rPr lang="nl-BE" sz="1600" b="1" baseline="0"/>
            <a:t> scores</a:t>
          </a:r>
          <a:endParaRPr lang="nl-BE" sz="1600" b="1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226218</xdr:colOff>
      <xdr:row>84</xdr:row>
      <xdr:rowOff>83344</xdr:rowOff>
    </xdr:from>
    <xdr:to>
      <xdr:col>11</xdr:col>
      <xdr:colOff>119063</xdr:colOff>
      <xdr:row>114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0.55834</cdr:x>
      <cdr:y>0.93291</cdr:y>
    </cdr:from>
    <cdr:to>
      <cdr:x>0.65649</cdr:x>
      <cdr:y>0.98113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96001" y="5298281"/>
          <a:ext cx="1071562" cy="273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BE" sz="1600" b="1"/>
            <a:t>Scenario's</a:t>
          </a:r>
        </a:p>
      </cdr:txBody>
    </cdr:sp>
  </cdr:relSizeAnchor>
  <cdr:relSizeAnchor xmlns:cdr="http://schemas.openxmlformats.org/drawingml/2006/chartDrawing">
    <cdr:from>
      <cdr:x>0.012</cdr:x>
      <cdr:y>0.01258</cdr:y>
    </cdr:from>
    <cdr:to>
      <cdr:x>0.04907</cdr:x>
      <cdr:y>0.27883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30969" y="71435"/>
          <a:ext cx="404813" cy="1512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nl-BE" sz="1600" b="1"/>
            <a:t>Scenario</a:t>
          </a:r>
          <a:r>
            <a:rPr lang="nl-BE" sz="1600" b="1" baseline="0"/>
            <a:t> scores</a:t>
          </a:r>
          <a:endParaRPr lang="nl-BE" sz="16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opLeftCell="A10" workbookViewId="0">
      <selection activeCell="K24" sqref="K24"/>
    </sheetView>
  </sheetViews>
  <sheetFormatPr defaultRowHeight="15"/>
  <cols>
    <col min="1" max="1" width="36.42578125" bestFit="1" customWidth="1"/>
    <col min="2" max="2" width="17.42578125" customWidth="1"/>
    <col min="3" max="3" width="43.140625" customWidth="1"/>
    <col min="4" max="4" width="21.140625" customWidth="1"/>
    <col min="5" max="9" width="20.5703125" customWidth="1"/>
  </cols>
  <sheetData>
    <row r="1" spans="1:9">
      <c r="A1" s="13"/>
    </row>
    <row r="3" spans="1:9" ht="45">
      <c r="A3" s="8" t="s">
        <v>15</v>
      </c>
      <c r="B3" s="8" t="s">
        <v>19</v>
      </c>
      <c r="C3" s="8" t="s">
        <v>14</v>
      </c>
      <c r="D3" s="8" t="s">
        <v>0</v>
      </c>
      <c r="E3" s="8" t="s">
        <v>1</v>
      </c>
      <c r="F3" s="8" t="s">
        <v>2</v>
      </c>
      <c r="G3" s="8" t="s">
        <v>3</v>
      </c>
      <c r="H3" s="8" t="s">
        <v>5</v>
      </c>
      <c r="I3" s="8" t="s">
        <v>4</v>
      </c>
    </row>
    <row r="4" spans="1:9">
      <c r="A4" s="1" t="s">
        <v>51</v>
      </c>
      <c r="B4" s="9" t="s">
        <v>20</v>
      </c>
      <c r="C4" s="31" t="s">
        <v>77</v>
      </c>
      <c r="D4" s="10">
        <v>117.86809281908999</v>
      </c>
      <c r="E4" s="10">
        <v>23.573618563818002</v>
      </c>
      <c r="F4" s="10">
        <v>0</v>
      </c>
      <c r="G4" s="10">
        <v>23.573618563818002</v>
      </c>
      <c r="H4" s="10">
        <v>47.147237127636004</v>
      </c>
      <c r="I4" s="10">
        <v>70.720855691454304</v>
      </c>
    </row>
    <row r="5" spans="1:9">
      <c r="A5" s="1" t="s">
        <v>9</v>
      </c>
      <c r="B5" s="9" t="s">
        <v>20</v>
      </c>
      <c r="C5" s="31" t="s">
        <v>77</v>
      </c>
      <c r="D5" s="10">
        <v>0</v>
      </c>
      <c r="E5" s="10">
        <f>1.6*85</f>
        <v>136</v>
      </c>
      <c r="F5" s="10">
        <f>7.5*8</f>
        <v>60</v>
      </c>
      <c r="G5" s="10">
        <f>10.5*5</f>
        <v>52.5</v>
      </c>
      <c r="H5" s="10">
        <f>14*5</f>
        <v>70</v>
      </c>
      <c r="I5" s="10">
        <v>27.5</v>
      </c>
    </row>
    <row r="6" spans="1:9">
      <c r="A6" s="18" t="s">
        <v>37</v>
      </c>
      <c r="B6" s="31" t="s">
        <v>20</v>
      </c>
      <c r="C6" s="31" t="s">
        <v>77</v>
      </c>
      <c r="D6" s="10">
        <v>0</v>
      </c>
      <c r="E6" s="10">
        <v>0</v>
      </c>
      <c r="F6" s="10">
        <v>0</v>
      </c>
      <c r="G6" s="34">
        <v>4.5</v>
      </c>
      <c r="H6" s="10">
        <v>6</v>
      </c>
      <c r="I6" s="10">
        <v>0</v>
      </c>
    </row>
    <row r="7" spans="1:9">
      <c r="A7" s="1" t="s">
        <v>7</v>
      </c>
      <c r="B7" s="9" t="s">
        <v>23</v>
      </c>
      <c r="C7" s="9" t="s">
        <v>16</v>
      </c>
      <c r="D7" s="10">
        <v>675.09225946436254</v>
      </c>
      <c r="E7" s="10">
        <v>137</v>
      </c>
      <c r="F7" s="10">
        <v>0</v>
      </c>
      <c r="G7" s="10">
        <v>163</v>
      </c>
      <c r="H7" s="10">
        <v>179</v>
      </c>
      <c r="I7" s="10">
        <v>337.54612973218127</v>
      </c>
    </row>
    <row r="8" spans="1:9">
      <c r="A8" s="5" t="s">
        <v>22</v>
      </c>
      <c r="B8" s="9" t="s">
        <v>23</v>
      </c>
      <c r="C8" s="9" t="s">
        <v>26</v>
      </c>
      <c r="D8" s="10">
        <v>20</v>
      </c>
      <c r="E8" s="10">
        <v>5</v>
      </c>
      <c r="F8" s="10">
        <v>0</v>
      </c>
      <c r="G8" s="10">
        <v>10</v>
      </c>
      <c r="H8" s="10">
        <v>5</v>
      </c>
      <c r="I8" s="10">
        <v>10</v>
      </c>
    </row>
    <row r="9" spans="1:9">
      <c r="A9" s="1" t="s">
        <v>21</v>
      </c>
      <c r="B9" s="23" t="s">
        <v>23</v>
      </c>
      <c r="C9" s="9" t="s">
        <v>11</v>
      </c>
      <c r="D9" s="10">
        <v>0</v>
      </c>
      <c r="E9" s="10">
        <v>265</v>
      </c>
      <c r="F9" s="10">
        <v>0</v>
      </c>
      <c r="G9" s="10">
        <v>0</v>
      </c>
      <c r="H9" s="10">
        <v>0</v>
      </c>
      <c r="I9" s="11">
        <v>15</v>
      </c>
    </row>
    <row r="10" spans="1:9">
      <c r="A10" s="1" t="s">
        <v>61</v>
      </c>
      <c r="B10" s="33" t="s">
        <v>24</v>
      </c>
      <c r="C10" s="23" t="s">
        <v>62</v>
      </c>
      <c r="D10" s="7">
        <v>13.181468480788094</v>
      </c>
      <c r="E10" s="7">
        <v>13.181468480788094</v>
      </c>
      <c r="F10" s="7">
        <v>35.969769922150576</v>
      </c>
      <c r="G10" s="7">
        <v>22.564886721349122</v>
      </c>
      <c r="H10" s="7">
        <v>16.756104001001816</v>
      </c>
      <c r="I10" s="7">
        <v>13.181468480788094</v>
      </c>
    </row>
    <row r="11" spans="1:9">
      <c r="A11" s="18" t="s">
        <v>38</v>
      </c>
      <c r="B11" s="33" t="s">
        <v>24</v>
      </c>
      <c r="C11" s="31" t="s">
        <v>77</v>
      </c>
      <c r="D11" s="7">
        <v>0</v>
      </c>
      <c r="E11" s="7">
        <v>0</v>
      </c>
      <c r="F11" s="7">
        <v>0</v>
      </c>
      <c r="G11" s="7">
        <v>25.295999999999999</v>
      </c>
      <c r="H11" s="7">
        <v>50.591999999999999</v>
      </c>
      <c r="I11" s="7">
        <v>0</v>
      </c>
    </row>
    <row r="12" spans="1:9">
      <c r="A12" s="1" t="s">
        <v>43</v>
      </c>
      <c r="B12" s="33" t="s">
        <v>24</v>
      </c>
      <c r="C12" s="31" t="s">
        <v>77</v>
      </c>
      <c r="D12" s="7">
        <v>0</v>
      </c>
      <c r="E12" s="7">
        <v>0</v>
      </c>
      <c r="F12" s="7">
        <v>0</v>
      </c>
      <c r="G12" s="7">
        <v>30</v>
      </c>
      <c r="H12" s="7">
        <v>60</v>
      </c>
      <c r="I12" s="7">
        <v>0</v>
      </c>
    </row>
    <row r="13" spans="1:9">
      <c r="A13" s="1" t="s">
        <v>8</v>
      </c>
      <c r="B13" s="9" t="s">
        <v>25</v>
      </c>
      <c r="C13" s="9" t="s">
        <v>12</v>
      </c>
      <c r="D13" s="11" t="s">
        <v>29</v>
      </c>
      <c r="E13" s="11">
        <v>89</v>
      </c>
      <c r="F13" s="11">
        <v>0</v>
      </c>
      <c r="G13" s="11" t="s">
        <v>78</v>
      </c>
      <c r="H13" s="11" t="s">
        <v>79</v>
      </c>
      <c r="I13" s="11" t="s">
        <v>30</v>
      </c>
    </row>
    <row r="14" spans="1:9">
      <c r="A14" s="1" t="s">
        <v>10</v>
      </c>
      <c r="B14" s="9" t="s">
        <v>25</v>
      </c>
      <c r="C14" s="9" t="s">
        <v>13</v>
      </c>
      <c r="D14" s="11">
        <v>0</v>
      </c>
      <c r="E14" s="11">
        <v>32</v>
      </c>
      <c r="F14" s="11">
        <v>0</v>
      </c>
      <c r="G14" s="11">
        <v>0</v>
      </c>
      <c r="H14" s="11">
        <v>0</v>
      </c>
      <c r="I14" s="11">
        <v>0</v>
      </c>
    </row>
    <row r="17" spans="1:9">
      <c r="A17" s="4" t="s">
        <v>51</v>
      </c>
      <c r="B17" s="4"/>
      <c r="C17" t="s">
        <v>80</v>
      </c>
    </row>
    <row r="18" spans="1:9">
      <c r="A18" s="4" t="s">
        <v>9</v>
      </c>
      <c r="B18" s="4"/>
      <c r="C18" t="s">
        <v>81</v>
      </c>
    </row>
    <row r="19" spans="1:9">
      <c r="A19" s="4" t="s">
        <v>37</v>
      </c>
      <c r="B19" s="4"/>
      <c r="C19" t="s">
        <v>82</v>
      </c>
    </row>
    <row r="20" spans="1:9">
      <c r="A20" s="4" t="s">
        <v>7</v>
      </c>
      <c r="B20" s="4"/>
      <c r="C20" t="s">
        <v>18</v>
      </c>
    </row>
    <row r="21" spans="1:9">
      <c r="A21" s="6" t="s">
        <v>22</v>
      </c>
      <c r="B21" s="4"/>
      <c r="C21" t="s">
        <v>27</v>
      </c>
    </row>
    <row r="22" spans="1:9">
      <c r="A22" s="4" t="s">
        <v>21</v>
      </c>
      <c r="B22" s="4"/>
      <c r="C22" t="s">
        <v>28</v>
      </c>
    </row>
    <row r="23" spans="1:9">
      <c r="A23" s="4" t="s">
        <v>61</v>
      </c>
      <c r="B23" s="4"/>
      <c r="C23" t="s">
        <v>63</v>
      </c>
    </row>
    <row r="24" spans="1:9">
      <c r="A24" s="4" t="s">
        <v>38</v>
      </c>
      <c r="B24" s="4"/>
      <c r="C24" t="s">
        <v>83</v>
      </c>
    </row>
    <row r="25" spans="1:9">
      <c r="A25" s="4" t="s">
        <v>43</v>
      </c>
      <c r="B25" s="4"/>
      <c r="C25" t="s">
        <v>84</v>
      </c>
    </row>
    <row r="26" spans="1:9">
      <c r="A26" s="4" t="s">
        <v>8</v>
      </c>
      <c r="B26" s="4"/>
      <c r="C26" t="s">
        <v>31</v>
      </c>
    </row>
    <row r="27" spans="1:9">
      <c r="A27" s="4" t="s">
        <v>10</v>
      </c>
      <c r="C27" t="s">
        <v>31</v>
      </c>
    </row>
    <row r="30" spans="1:9">
      <c r="A30" s="1" t="s">
        <v>8</v>
      </c>
      <c r="B30" s="32" t="s">
        <v>25</v>
      </c>
      <c r="C30" s="32" t="s">
        <v>12</v>
      </c>
      <c r="D30" s="11">
        <v>358</v>
      </c>
      <c r="E30" s="11">
        <v>89</v>
      </c>
      <c r="F30" s="11">
        <v>0</v>
      </c>
      <c r="G30" s="11">
        <v>157</v>
      </c>
      <c r="H30" s="11">
        <v>178</v>
      </c>
      <c r="I30" s="11">
        <v>319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J21"/>
  <sheetViews>
    <sheetView topLeftCell="D1" workbookViewId="0">
      <selection activeCell="C21" sqref="C21"/>
    </sheetView>
  </sheetViews>
  <sheetFormatPr defaultRowHeight="15"/>
  <cols>
    <col min="1" max="1" width="6.7109375" customWidth="1"/>
    <col min="2" max="2" width="36.42578125" bestFit="1" customWidth="1"/>
    <col min="3" max="3" width="17.42578125" customWidth="1"/>
    <col min="4" max="4" width="43.140625" customWidth="1"/>
    <col min="5" max="5" width="21.140625" customWidth="1"/>
    <col min="6" max="10" width="20.5703125" customWidth="1"/>
  </cols>
  <sheetData>
    <row r="1" spans="2:10">
      <c r="B1" s="13"/>
    </row>
    <row r="3" spans="2:10" ht="45">
      <c r="B3" s="2" t="s">
        <v>15</v>
      </c>
      <c r="C3" s="2" t="s">
        <v>19</v>
      </c>
      <c r="D3" s="2" t="s">
        <v>14</v>
      </c>
      <c r="E3" s="2" t="s">
        <v>0</v>
      </c>
      <c r="F3" s="2" t="s">
        <v>1</v>
      </c>
      <c r="G3" s="2" t="s">
        <v>2</v>
      </c>
      <c r="H3" s="8" t="s">
        <v>39</v>
      </c>
      <c r="I3" s="2" t="s">
        <v>5</v>
      </c>
      <c r="J3" s="2" t="s">
        <v>4</v>
      </c>
    </row>
    <row r="4" spans="2:10">
      <c r="B4" s="35" t="s">
        <v>51</v>
      </c>
      <c r="C4" s="3" t="s">
        <v>20</v>
      </c>
      <c r="D4" s="24" t="s">
        <v>77</v>
      </c>
      <c r="E4" s="10">
        <f>117868092.81909/1000000</f>
        <v>117.86809281908999</v>
      </c>
      <c r="F4" s="10">
        <f>0.2*$E$4</f>
        <v>23.573618563818002</v>
      </c>
      <c r="G4" s="10">
        <v>0</v>
      </c>
      <c r="H4" s="10">
        <f>0.2*$E$4</f>
        <v>23.573618563818002</v>
      </c>
      <c r="I4" s="10">
        <f>0.4*$E$4</f>
        <v>47.147237127636004</v>
      </c>
      <c r="J4" s="10">
        <f>70720855.6914543/1000000</f>
        <v>70.720855691454304</v>
      </c>
    </row>
    <row r="5" spans="2:10">
      <c r="B5" s="1" t="s">
        <v>7</v>
      </c>
      <c r="C5" s="3" t="s">
        <v>23</v>
      </c>
      <c r="D5" s="3" t="s">
        <v>16</v>
      </c>
      <c r="E5" s="10">
        <v>675.09225946436254</v>
      </c>
      <c r="F5" s="10">
        <v>137</v>
      </c>
      <c r="G5" s="10">
        <v>0</v>
      </c>
      <c r="H5" s="10">
        <v>163</v>
      </c>
      <c r="I5" s="10">
        <v>179</v>
      </c>
      <c r="J5" s="10">
        <v>337.54612973218127</v>
      </c>
    </row>
    <row r="6" spans="2:10">
      <c r="B6" s="5" t="s">
        <v>22</v>
      </c>
      <c r="C6" s="25" t="s">
        <v>23</v>
      </c>
      <c r="D6" s="25" t="s">
        <v>26</v>
      </c>
      <c r="E6" s="26">
        <v>20</v>
      </c>
      <c r="F6" s="26">
        <v>5</v>
      </c>
      <c r="G6" s="26">
        <v>0</v>
      </c>
      <c r="H6" s="26">
        <v>10</v>
      </c>
      <c r="I6" s="26">
        <v>5</v>
      </c>
      <c r="J6" s="26">
        <v>10</v>
      </c>
    </row>
    <row r="7" spans="2:10">
      <c r="B7" s="1" t="s">
        <v>61</v>
      </c>
      <c r="C7" s="23" t="s">
        <v>64</v>
      </c>
      <c r="D7" s="23" t="s">
        <v>62</v>
      </c>
      <c r="E7" s="7">
        <v>13.181468480788094</v>
      </c>
      <c r="F7" s="7">
        <v>13.181468480788094</v>
      </c>
      <c r="G7" s="7">
        <v>35.969769922150576</v>
      </c>
      <c r="H7" s="7">
        <v>22.564886721349122</v>
      </c>
      <c r="I7" s="7">
        <v>16.756104001001816</v>
      </c>
      <c r="J7" s="7">
        <v>13.181468480788094</v>
      </c>
    </row>
    <row r="8" spans="2:10">
      <c r="B8" s="1" t="s">
        <v>8</v>
      </c>
      <c r="C8" s="3" t="s">
        <v>25</v>
      </c>
      <c r="D8" s="3" t="s">
        <v>12</v>
      </c>
      <c r="E8" s="11" t="s">
        <v>29</v>
      </c>
      <c r="F8" s="11">
        <v>89</v>
      </c>
      <c r="G8" s="11">
        <v>0</v>
      </c>
      <c r="H8" s="11" t="s">
        <v>78</v>
      </c>
      <c r="I8" s="11" t="s">
        <v>79</v>
      </c>
      <c r="J8" s="11" t="s">
        <v>30</v>
      </c>
    </row>
    <row r="11" spans="2:10">
      <c r="B11" s="4" t="s">
        <v>6</v>
      </c>
      <c r="C11" s="4"/>
      <c r="D11" t="s">
        <v>17</v>
      </c>
    </row>
    <row r="12" spans="2:10">
      <c r="B12" s="4" t="s">
        <v>7</v>
      </c>
      <c r="C12" s="4"/>
      <c r="D12" t="s">
        <v>18</v>
      </c>
    </row>
    <row r="13" spans="2:10">
      <c r="B13" s="6" t="s">
        <v>22</v>
      </c>
      <c r="C13" s="4"/>
      <c r="D13" t="s">
        <v>27</v>
      </c>
    </row>
    <row r="14" spans="2:10">
      <c r="B14" s="4" t="s">
        <v>61</v>
      </c>
      <c r="C14" s="4"/>
      <c r="D14" t="s">
        <v>63</v>
      </c>
    </row>
    <row r="15" spans="2:10">
      <c r="B15" s="4" t="s">
        <v>8</v>
      </c>
      <c r="C15" s="4"/>
      <c r="D15" t="s">
        <v>31</v>
      </c>
    </row>
    <row r="21" spans="5:9">
      <c r="E21" s="19">
        <f>0.8*('Decision matrix'!$D$4-'Decision matrix'!H7)/1000000</f>
        <v>-4.8905525744728013E-5</v>
      </c>
      <c r="F21" s="19">
        <f>('Decision matrix'!$D$4-'Decision matrix'!I7)/1000000</f>
        <v>-2.1967803691309127E-4</v>
      </c>
      <c r="G21" s="19">
        <f>0.8*('Decision matrix'!$D$4-'Decision matrix'!J7)/1000000</f>
        <v>9.4294474255272005E-5</v>
      </c>
      <c r="H21" s="19">
        <f>0.6*('Decision matrix'!$D$4-'Decision matrix'!K7)/1000000</f>
        <v>7.0720855691453987E-5</v>
      </c>
      <c r="I21" s="19">
        <f>('Decision matrix'!$D$4-'Decision matrix'!L7)/1000000</f>
        <v>1.1786809281909E-4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8"/>
  <sheetViews>
    <sheetView topLeftCell="A19" workbookViewId="0">
      <selection activeCell="B51" sqref="B51"/>
    </sheetView>
  </sheetViews>
  <sheetFormatPr defaultRowHeight="15"/>
  <cols>
    <col min="1" max="1" width="3.7109375" customWidth="1"/>
    <col min="2" max="2" width="41.85546875" customWidth="1"/>
    <col min="3" max="3" width="13.140625" customWidth="1"/>
    <col min="4" max="4" width="25.7109375" customWidth="1"/>
    <col min="5" max="5" width="26.7109375" customWidth="1"/>
    <col min="6" max="6" width="23.28515625" customWidth="1"/>
    <col min="7" max="7" width="22.28515625" customWidth="1"/>
    <col min="8" max="8" width="19.140625" customWidth="1"/>
    <col min="9" max="9" width="16.42578125" customWidth="1"/>
    <col min="10" max="10" width="3.140625" customWidth="1"/>
  </cols>
  <sheetData>
    <row r="1" spans="1:10">
      <c r="B1" s="20"/>
      <c r="C1" s="20"/>
      <c r="D1" t="s">
        <v>54</v>
      </c>
    </row>
    <row r="2" spans="1:10">
      <c r="A2" s="69"/>
      <c r="B2" s="69"/>
      <c r="C2" s="69"/>
      <c r="D2" s="69"/>
      <c r="E2" s="69"/>
      <c r="F2" s="69"/>
      <c r="G2" s="69"/>
      <c r="H2" s="69"/>
      <c r="I2" s="69"/>
      <c r="J2" s="69"/>
    </row>
    <row r="3" spans="1:10">
      <c r="A3" s="69"/>
      <c r="B3" s="13" t="s">
        <v>106</v>
      </c>
      <c r="C3" s="12"/>
      <c r="J3" s="69"/>
    </row>
    <row r="4" spans="1:10">
      <c r="A4" s="69"/>
      <c r="B4" t="s">
        <v>41</v>
      </c>
      <c r="C4" t="s">
        <v>49</v>
      </c>
      <c r="J4" s="69"/>
    </row>
    <row r="5" spans="1:10">
      <c r="A5" s="69"/>
      <c r="B5" t="s">
        <v>42</v>
      </c>
      <c r="C5" s="15">
        <v>0.04</v>
      </c>
      <c r="J5" s="69"/>
    </row>
    <row r="6" spans="1:10">
      <c r="A6" s="69"/>
      <c r="B6" t="s">
        <v>50</v>
      </c>
      <c r="C6" s="16">
        <v>1.6E-2</v>
      </c>
      <c r="J6" s="69"/>
    </row>
    <row r="7" spans="1:10">
      <c r="A7" s="69"/>
      <c r="B7" s="14" t="s">
        <v>37</v>
      </c>
      <c r="C7">
        <v>30000</v>
      </c>
      <c r="D7" t="s">
        <v>45</v>
      </c>
      <c r="J7" s="69"/>
    </row>
    <row r="8" spans="1:10">
      <c r="A8" s="69"/>
      <c r="B8" t="s">
        <v>44</v>
      </c>
      <c r="C8" s="20">
        <v>2500000</v>
      </c>
      <c r="D8" t="s">
        <v>47</v>
      </c>
      <c r="J8" s="69"/>
    </row>
    <row r="9" spans="1:10">
      <c r="A9" s="69"/>
      <c r="B9" t="s">
        <v>38</v>
      </c>
      <c r="C9">
        <f>E9*68</f>
        <v>252960</v>
      </c>
      <c r="D9" t="s">
        <v>46</v>
      </c>
      <c r="E9" s="20">
        <v>3720</v>
      </c>
      <c r="F9" t="s">
        <v>60</v>
      </c>
      <c r="J9" s="69"/>
    </row>
    <row r="10" spans="1:10">
      <c r="A10" s="69"/>
      <c r="B10" t="s">
        <v>48</v>
      </c>
      <c r="C10" s="20">
        <v>300000</v>
      </c>
      <c r="D10" t="s">
        <v>46</v>
      </c>
      <c r="E10" s="20">
        <v>4500</v>
      </c>
      <c r="F10" t="s">
        <v>60</v>
      </c>
      <c r="J10" s="69"/>
    </row>
    <row r="11" spans="1:10">
      <c r="A11" s="69"/>
      <c r="J11" s="69"/>
    </row>
    <row r="12" spans="1:10">
      <c r="A12" s="69"/>
      <c r="B12" s="69"/>
      <c r="C12" s="69"/>
      <c r="D12" s="69"/>
      <c r="E12" s="69"/>
      <c r="F12" s="69"/>
      <c r="G12" s="69"/>
      <c r="H12" s="69"/>
      <c r="I12" s="69"/>
      <c r="J12" s="69"/>
    </row>
    <row r="13" spans="1:10" ht="45">
      <c r="A13" s="69"/>
      <c r="B13" s="98" t="s">
        <v>105</v>
      </c>
      <c r="C13" s="32" t="s">
        <v>104</v>
      </c>
      <c r="D13" s="8" t="s">
        <v>1</v>
      </c>
      <c r="E13" s="8" t="s">
        <v>2</v>
      </c>
      <c r="F13" s="8" t="s">
        <v>39</v>
      </c>
      <c r="G13" s="8" t="s">
        <v>40</v>
      </c>
      <c r="H13" s="8" t="s">
        <v>4</v>
      </c>
      <c r="I13" s="99" t="s">
        <v>55</v>
      </c>
      <c r="J13" s="70"/>
    </row>
    <row r="14" spans="1:10">
      <c r="A14" s="69"/>
      <c r="B14" s="17" t="s">
        <v>32</v>
      </c>
      <c r="C14" s="88"/>
      <c r="D14" s="8"/>
      <c r="E14" s="8"/>
      <c r="F14" s="8"/>
      <c r="G14" s="8"/>
      <c r="H14" s="8"/>
      <c r="I14" s="20"/>
      <c r="J14" s="69"/>
    </row>
    <row r="15" spans="1:10">
      <c r="A15" s="69"/>
      <c r="B15" s="27" t="s">
        <v>9</v>
      </c>
      <c r="C15" s="25" t="s">
        <v>77</v>
      </c>
      <c r="D15" s="26">
        <f>1.6*85</f>
        <v>136</v>
      </c>
      <c r="E15" s="26">
        <f>7.5*8</f>
        <v>60</v>
      </c>
      <c r="F15" s="26">
        <f>10.5*5</f>
        <v>52.5</v>
      </c>
      <c r="G15" s="26">
        <f>14*5</f>
        <v>70</v>
      </c>
      <c r="H15" s="26">
        <v>27.5</v>
      </c>
      <c r="I15" s="21">
        <v>1</v>
      </c>
      <c r="J15" s="69"/>
    </row>
    <row r="16" spans="1:10">
      <c r="A16" s="69"/>
      <c r="B16" s="84" t="s">
        <v>37</v>
      </c>
      <c r="C16" s="83" t="s">
        <v>77</v>
      </c>
      <c r="D16" s="83">
        <f>D47*$C$7/1000000</f>
        <v>0</v>
      </c>
      <c r="E16" s="83">
        <f>E47*$C$7/1000000</f>
        <v>0</v>
      </c>
      <c r="F16" s="83">
        <f>F47*$C$7/1000000</f>
        <v>4.5</v>
      </c>
      <c r="G16" s="83">
        <f>G47*$C$7/1000000</f>
        <v>6</v>
      </c>
      <c r="H16" s="83">
        <f>H47*$C$7/1000000</f>
        <v>0</v>
      </c>
      <c r="I16" s="22">
        <v>1</v>
      </c>
      <c r="J16" s="69"/>
    </row>
    <row r="17" spans="1:10">
      <c r="A17" s="69"/>
      <c r="B17" s="1"/>
      <c r="C17" s="32"/>
      <c r="D17" s="32"/>
      <c r="E17" s="32"/>
      <c r="F17" s="32"/>
      <c r="G17" s="32"/>
      <c r="H17" s="32"/>
      <c r="I17" s="22"/>
      <c r="J17" s="69"/>
    </row>
    <row r="18" spans="1:10">
      <c r="A18" s="69"/>
      <c r="B18" s="28" t="s">
        <v>33</v>
      </c>
      <c r="C18" s="89"/>
      <c r="D18" s="25"/>
      <c r="E18" s="25"/>
      <c r="F18" s="25"/>
      <c r="G18" s="25"/>
      <c r="H18" s="25"/>
      <c r="I18" s="22"/>
      <c r="J18" s="69"/>
    </row>
    <row r="19" spans="1:10">
      <c r="A19" s="69"/>
      <c r="B19" s="75" t="s">
        <v>34</v>
      </c>
      <c r="C19" s="82" t="s">
        <v>77</v>
      </c>
      <c r="D19" s="80">
        <f>('Flood risk assessment'!$E$4-'Flood risk assessment'!F4)</f>
        <v>94.294474255271993</v>
      </c>
      <c r="E19" s="80">
        <f>('Flood risk assessment'!$E$4-'Flood risk assessment'!G4)</f>
        <v>117.86809281908999</v>
      </c>
      <c r="F19" s="80">
        <f>('Flood risk assessment'!$E$4-'Flood risk assessment'!H4)</f>
        <v>94.294474255271993</v>
      </c>
      <c r="G19" s="80">
        <f>('Flood risk assessment'!$E$4-'Flood risk assessment'!I4)</f>
        <v>70.720855691453991</v>
      </c>
      <c r="H19" s="80">
        <f>('Flood risk assessment'!$E$4-'Flood risk assessment'!J4)</f>
        <v>47.147237127635691</v>
      </c>
      <c r="I19" s="22">
        <v>1</v>
      </c>
      <c r="J19" s="69"/>
    </row>
    <row r="20" spans="1:10">
      <c r="A20" s="69"/>
      <c r="B20" s="75" t="s">
        <v>35</v>
      </c>
      <c r="C20" s="82" t="s">
        <v>77</v>
      </c>
      <c r="D20" s="80">
        <f>('Flood risk assessment'!$E$6-'Flood risk assessment'!F6)*'Cost Benefit Analysis'!$C$8/1000000</f>
        <v>37.5</v>
      </c>
      <c r="E20" s="80">
        <f>('Flood risk assessment'!$E$6-'Flood risk assessment'!G6)*'Cost Benefit Analysis'!$C$8/1000000</f>
        <v>50</v>
      </c>
      <c r="F20" s="80">
        <f>('Flood risk assessment'!$E$6-'Flood risk assessment'!H6)*'Cost Benefit Analysis'!$C$8/1000000</f>
        <v>25</v>
      </c>
      <c r="G20" s="80">
        <f>('Flood risk assessment'!$E$6-'Flood risk assessment'!I6)*'Cost Benefit Analysis'!$C$8/1000000</f>
        <v>37.5</v>
      </c>
      <c r="H20" s="80">
        <f>('Flood risk assessment'!$E$6-'Flood risk assessment'!J6)*'Cost Benefit Analysis'!$C$8/1000000</f>
        <v>25</v>
      </c>
      <c r="I20" s="22">
        <v>1</v>
      </c>
      <c r="J20" s="69"/>
    </row>
    <row r="21" spans="1:10">
      <c r="A21" s="69"/>
      <c r="B21" s="77" t="s">
        <v>76</v>
      </c>
      <c r="C21" s="83" t="s">
        <v>77</v>
      </c>
      <c r="D21" s="81">
        <f>SUM(D19:D20)</f>
        <v>131.79447425527201</v>
      </c>
      <c r="E21" s="81">
        <f t="shared" ref="E21:H21" si="0">SUM(E19:E20)</f>
        <v>167.86809281909001</v>
      </c>
      <c r="F21" s="81">
        <f t="shared" si="0"/>
        <v>119.29447425527199</v>
      </c>
      <c r="G21" s="81">
        <f t="shared" si="0"/>
        <v>108.22085569145399</v>
      </c>
      <c r="H21" s="81">
        <f t="shared" si="0"/>
        <v>72.147237127635691</v>
      </c>
      <c r="I21" s="22"/>
      <c r="J21" s="69"/>
    </row>
    <row r="22" spans="1:10">
      <c r="A22" s="69"/>
      <c r="B22" s="1"/>
      <c r="C22" s="32"/>
      <c r="D22" s="32"/>
      <c r="E22" s="32"/>
      <c r="F22" s="32"/>
      <c r="G22" s="32"/>
      <c r="H22" s="32"/>
      <c r="I22" s="22"/>
      <c r="J22" s="69"/>
    </row>
    <row r="23" spans="1:10">
      <c r="A23" s="69"/>
      <c r="B23" s="28" t="s">
        <v>36</v>
      </c>
      <c r="C23" s="25" t="s">
        <v>77</v>
      </c>
      <c r="D23" s="25"/>
      <c r="E23" s="25"/>
      <c r="F23" s="25"/>
      <c r="G23" s="25"/>
      <c r="H23" s="25"/>
      <c r="I23" s="22"/>
      <c r="J23" s="69"/>
    </row>
    <row r="24" spans="1:10">
      <c r="A24" s="69"/>
      <c r="B24" s="85" t="s">
        <v>38</v>
      </c>
      <c r="C24" s="82" t="s">
        <v>77</v>
      </c>
      <c r="D24" s="82">
        <v>0</v>
      </c>
      <c r="E24" s="86">
        <f>E46*$C$9/1000000</f>
        <v>0</v>
      </c>
      <c r="F24" s="87">
        <f>F46*$C$9/1000000</f>
        <v>25.295999999999999</v>
      </c>
      <c r="G24" s="87">
        <f>G46*$C$9/1000000</f>
        <v>50.591999999999999</v>
      </c>
      <c r="H24" s="82">
        <f>H46*$E$9/1000000</f>
        <v>0</v>
      </c>
      <c r="I24" s="22">
        <v>1</v>
      </c>
      <c r="J24" s="69"/>
    </row>
    <row r="25" spans="1:10">
      <c r="A25" s="69"/>
      <c r="B25" s="77" t="s">
        <v>43</v>
      </c>
      <c r="C25" s="83" t="s">
        <v>77</v>
      </c>
      <c r="D25" s="83">
        <f>D46*$C$10/1000000</f>
        <v>0</v>
      </c>
      <c r="E25" s="83">
        <f>E46*$C$10/1000000</f>
        <v>0</v>
      </c>
      <c r="F25" s="83">
        <f>F46*$C$10/1000000</f>
        <v>30</v>
      </c>
      <c r="G25" s="83">
        <f>G46*$C$10/1000000</f>
        <v>60</v>
      </c>
      <c r="H25" s="83"/>
      <c r="I25" s="22">
        <v>1</v>
      </c>
      <c r="J25" s="69"/>
    </row>
    <row r="26" spans="1:10">
      <c r="A26" s="69"/>
      <c r="B26" s="27"/>
      <c r="C26" s="25"/>
      <c r="D26" s="25"/>
      <c r="E26" s="25"/>
      <c r="F26" s="25"/>
      <c r="G26" s="25"/>
      <c r="H26" s="25"/>
      <c r="I26" s="20"/>
      <c r="J26" s="69"/>
    </row>
    <row r="27" spans="1:10">
      <c r="A27" s="69"/>
      <c r="B27" s="28" t="s">
        <v>52</v>
      </c>
      <c r="C27" s="89"/>
      <c r="D27" s="25"/>
      <c r="E27" s="25"/>
      <c r="F27" s="25"/>
      <c r="G27" s="25"/>
      <c r="H27" s="25"/>
      <c r="I27" s="20"/>
      <c r="J27" s="69"/>
    </row>
    <row r="28" spans="1:10">
      <c r="A28" s="69"/>
      <c r="B28" s="29" t="s">
        <v>65</v>
      </c>
      <c r="C28" s="25" t="s">
        <v>77</v>
      </c>
      <c r="D28" s="80">
        <f>D19*$I$19+D20*$I$20*$I$20-D15*$I$15-D16*$I$16</f>
        <v>-4.2055257447279928</v>
      </c>
      <c r="E28" s="80">
        <f t="shared" ref="E28:H28" si="1">E19*$I$19+E20*$I$20*$I$20-E15*$I$15-E16*$I$16</f>
        <v>107.86809281909001</v>
      </c>
      <c r="F28" s="80">
        <f t="shared" si="1"/>
        <v>62.294474255271993</v>
      </c>
      <c r="G28" s="80">
        <f t="shared" si="1"/>
        <v>32.220855691453991</v>
      </c>
      <c r="H28" s="80">
        <f t="shared" si="1"/>
        <v>44.647237127635691</v>
      </c>
      <c r="I28" s="20"/>
      <c r="J28" s="69"/>
    </row>
    <row r="29" spans="1:10">
      <c r="A29" s="69"/>
      <c r="B29" s="29" t="s">
        <v>66</v>
      </c>
      <c r="C29" s="82" t="s">
        <v>77</v>
      </c>
      <c r="D29" s="80">
        <f>D28+D24*$I$24</f>
        <v>-4.2055257447279928</v>
      </c>
      <c r="E29" s="80">
        <f t="shared" ref="E29:H29" si="2">E28+E24*$I$24</f>
        <v>107.86809281909001</v>
      </c>
      <c r="F29" s="80">
        <f t="shared" si="2"/>
        <v>87.590474255271999</v>
      </c>
      <c r="G29" s="80">
        <f t="shared" si="2"/>
        <v>82.81285569145399</v>
      </c>
      <c r="H29" s="80">
        <f t="shared" si="2"/>
        <v>44.647237127635691</v>
      </c>
      <c r="I29" s="20"/>
      <c r="J29" s="69"/>
    </row>
    <row r="30" spans="1:10">
      <c r="A30" s="69"/>
      <c r="B30" s="30" t="s">
        <v>67</v>
      </c>
      <c r="C30" s="83" t="s">
        <v>77</v>
      </c>
      <c r="D30" s="81">
        <f>D29+D25*$I$25</f>
        <v>-4.2055257447279928</v>
      </c>
      <c r="E30" s="81">
        <f t="shared" ref="E30:H30" si="3">E29+E25*$I$25</f>
        <v>107.86809281909001</v>
      </c>
      <c r="F30" s="81">
        <f t="shared" si="3"/>
        <v>117.590474255272</v>
      </c>
      <c r="G30" s="81">
        <f t="shared" si="3"/>
        <v>142.81285569145399</v>
      </c>
      <c r="H30" s="81">
        <f t="shared" si="3"/>
        <v>44.647237127635691</v>
      </c>
      <c r="I30" s="20"/>
      <c r="J30" s="69"/>
    </row>
    <row r="31" spans="1:10">
      <c r="A31" s="69"/>
      <c r="B31" s="69"/>
      <c r="C31" s="90"/>
      <c r="D31" s="69"/>
      <c r="E31" s="69"/>
      <c r="F31" s="69"/>
      <c r="G31" s="69"/>
      <c r="H31" s="69"/>
      <c r="I31" s="69"/>
      <c r="J31" s="69"/>
    </row>
    <row r="32" spans="1:10" ht="30.75" customHeight="1">
      <c r="A32" s="69"/>
      <c r="B32" s="98" t="s">
        <v>53</v>
      </c>
      <c r="C32" s="88"/>
      <c r="D32" s="71" t="str">
        <f>D13</f>
        <v>1. Conveyance</v>
      </c>
      <c r="E32" s="71" t="str">
        <f t="shared" ref="E32:H32" si="4">E13</f>
        <v>2. Concentrated storage in nature area</v>
      </c>
      <c r="F32" s="71" t="str">
        <f t="shared" si="4"/>
        <v>3. Distributed storage in the upstream valley</v>
      </c>
      <c r="G32" s="71" t="str">
        <f t="shared" si="4"/>
        <v>4. Transboundary distributed storage in the upstream valley</v>
      </c>
      <c r="H32" s="71" t="str">
        <f t="shared" si="4"/>
        <v>5. Non-structural measures</v>
      </c>
      <c r="J32" s="69"/>
    </row>
    <row r="33" spans="1:10">
      <c r="A33" s="69"/>
      <c r="B33" s="72" t="s">
        <v>68</v>
      </c>
      <c r="C33" s="91"/>
      <c r="D33" s="32">
        <v>5</v>
      </c>
      <c r="E33" s="32">
        <v>3</v>
      </c>
      <c r="F33" s="32">
        <v>2</v>
      </c>
      <c r="G33" s="32">
        <v>4</v>
      </c>
      <c r="H33" s="32">
        <v>1</v>
      </c>
      <c r="J33" s="69"/>
    </row>
    <row r="34" spans="1:10">
      <c r="A34" s="69"/>
      <c r="B34" s="73" t="s">
        <v>73</v>
      </c>
      <c r="C34" s="92"/>
      <c r="D34" s="25"/>
      <c r="E34" s="25"/>
      <c r="F34" s="25"/>
      <c r="G34" s="25"/>
      <c r="H34" s="25"/>
      <c r="J34" s="69"/>
    </row>
    <row r="35" spans="1:10">
      <c r="A35" s="69"/>
      <c r="B35" s="78" t="s">
        <v>74</v>
      </c>
      <c r="C35" s="93"/>
      <c r="D35" s="82">
        <v>2</v>
      </c>
      <c r="E35" s="82">
        <v>1</v>
      </c>
      <c r="F35" s="82">
        <v>4</v>
      </c>
      <c r="G35" s="82">
        <v>2</v>
      </c>
      <c r="H35" s="82">
        <v>4</v>
      </c>
      <c r="J35" s="69"/>
    </row>
    <row r="36" spans="1:10">
      <c r="A36" s="69"/>
      <c r="B36" s="79" t="s">
        <v>75</v>
      </c>
      <c r="C36" s="94"/>
      <c r="D36" s="83">
        <v>2</v>
      </c>
      <c r="E36" s="83">
        <v>1</v>
      </c>
      <c r="F36" s="83">
        <v>3</v>
      </c>
      <c r="G36" s="83">
        <v>4</v>
      </c>
      <c r="H36" s="83">
        <v>5</v>
      </c>
      <c r="J36" s="69"/>
    </row>
    <row r="37" spans="1:10">
      <c r="A37" s="69"/>
      <c r="B37" s="72" t="s">
        <v>69</v>
      </c>
      <c r="C37" s="91"/>
      <c r="D37" s="32"/>
      <c r="E37" s="32"/>
      <c r="F37" s="32"/>
      <c r="G37" s="32"/>
      <c r="H37" s="32"/>
      <c r="J37" s="69"/>
    </row>
    <row r="38" spans="1:10">
      <c r="A38" s="69"/>
      <c r="B38" s="73" t="s">
        <v>70</v>
      </c>
      <c r="C38" s="92"/>
      <c r="D38" s="25">
        <v>5</v>
      </c>
      <c r="E38" s="25">
        <v>1</v>
      </c>
      <c r="F38" s="25">
        <v>2</v>
      </c>
      <c r="G38" s="25">
        <v>4</v>
      </c>
      <c r="H38" s="25">
        <v>3</v>
      </c>
      <c r="J38" s="69"/>
    </row>
    <row r="39" spans="1:10">
      <c r="A39" s="69"/>
      <c r="B39" s="74" t="s">
        <v>71</v>
      </c>
      <c r="C39" s="95"/>
      <c r="D39" s="82">
        <v>5</v>
      </c>
      <c r="E39" s="82">
        <v>1</v>
      </c>
      <c r="F39" s="82">
        <v>2</v>
      </c>
      <c r="G39" s="82">
        <v>3</v>
      </c>
      <c r="H39" s="82">
        <v>4</v>
      </c>
      <c r="J39" s="69"/>
    </row>
    <row r="40" spans="1:10">
      <c r="A40" s="69"/>
      <c r="B40" s="76" t="s">
        <v>72</v>
      </c>
      <c r="C40" s="96"/>
      <c r="D40" s="83">
        <v>5</v>
      </c>
      <c r="E40" s="83">
        <v>3</v>
      </c>
      <c r="F40" s="83">
        <v>2</v>
      </c>
      <c r="G40" s="83">
        <v>1</v>
      </c>
      <c r="H40" s="83">
        <v>4</v>
      </c>
      <c r="J40" s="69"/>
    </row>
    <row r="41" spans="1:10">
      <c r="A41" s="69"/>
      <c r="B41" s="1"/>
      <c r="C41" s="32"/>
      <c r="D41" s="1"/>
      <c r="E41" s="1"/>
      <c r="F41" s="1"/>
      <c r="G41" s="1"/>
      <c r="H41" s="1"/>
      <c r="J41" s="69"/>
    </row>
    <row r="42" spans="1:10">
      <c r="A42" s="69"/>
      <c r="B42" s="69"/>
      <c r="C42" s="90"/>
      <c r="D42" s="69"/>
      <c r="E42" s="69"/>
      <c r="F42" s="69"/>
      <c r="G42" s="69"/>
      <c r="H42" s="69"/>
      <c r="I42" s="69"/>
      <c r="J42" s="69"/>
    </row>
    <row r="43" spans="1:10">
      <c r="A43" s="69"/>
      <c r="C43" s="53"/>
      <c r="J43" s="69"/>
    </row>
    <row r="44" spans="1:10">
      <c r="A44" s="69"/>
      <c r="B44" s="97" t="s">
        <v>58</v>
      </c>
      <c r="C44" s="88"/>
      <c r="D44" s="32" t="str">
        <f>D13</f>
        <v>1. Conveyance</v>
      </c>
      <c r="E44" s="32" t="str">
        <f t="shared" ref="E44:H44" si="5">E13</f>
        <v>2. Concentrated storage in nature area</v>
      </c>
      <c r="F44" s="32" t="str">
        <f t="shared" si="5"/>
        <v>3. Distributed storage in the upstream valley</v>
      </c>
      <c r="G44" s="32" t="str">
        <f t="shared" si="5"/>
        <v>4. Transboundary distributed storage in the upstream valley</v>
      </c>
      <c r="H44" s="32" t="str">
        <f t="shared" si="5"/>
        <v>5. Non-structural measures</v>
      </c>
      <c r="J44" s="69"/>
    </row>
    <row r="45" spans="1:10">
      <c r="A45" s="69"/>
      <c r="B45" s="1" t="s">
        <v>56</v>
      </c>
      <c r="C45" s="32" t="s">
        <v>103</v>
      </c>
      <c r="D45" s="100">
        <v>0</v>
      </c>
      <c r="E45" s="100">
        <v>300</v>
      </c>
      <c r="F45" s="100">
        <v>150</v>
      </c>
      <c r="G45" s="100">
        <v>50</v>
      </c>
      <c r="H45" s="100">
        <v>100</v>
      </c>
      <c r="J45" s="69"/>
    </row>
    <row r="46" spans="1:10">
      <c r="A46" s="69"/>
      <c r="B46" s="1" t="s">
        <v>57</v>
      </c>
      <c r="C46" s="32" t="s">
        <v>103</v>
      </c>
      <c r="D46" s="100">
        <v>0</v>
      </c>
      <c r="E46" s="100">
        <v>0</v>
      </c>
      <c r="F46" s="100">
        <v>100</v>
      </c>
      <c r="G46" s="100">
        <v>200</v>
      </c>
      <c r="H46" s="100">
        <v>0</v>
      </c>
      <c r="J46" s="69"/>
    </row>
    <row r="47" spans="1:10">
      <c r="A47" s="69"/>
      <c r="B47" s="1" t="s">
        <v>59</v>
      </c>
      <c r="C47" s="32" t="s">
        <v>103</v>
      </c>
      <c r="D47" s="100">
        <v>0</v>
      </c>
      <c r="E47" s="100">
        <v>0</v>
      </c>
      <c r="F47" s="100">
        <v>150</v>
      </c>
      <c r="G47" s="100">
        <v>200</v>
      </c>
      <c r="H47" s="100">
        <v>0</v>
      </c>
      <c r="J47" s="69"/>
    </row>
    <row r="48" spans="1:10">
      <c r="A48" s="69"/>
      <c r="B48" s="69"/>
      <c r="C48" s="90"/>
      <c r="D48" s="69"/>
      <c r="E48" s="69"/>
      <c r="F48" s="69"/>
      <c r="G48" s="69"/>
      <c r="H48" s="69"/>
      <c r="I48" s="69"/>
      <c r="J48" s="6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5:X79"/>
  <sheetViews>
    <sheetView topLeftCell="B1" zoomScale="80" zoomScaleNormal="80" workbookViewId="0">
      <selection activeCell="K6" sqref="K6"/>
    </sheetView>
  </sheetViews>
  <sheetFormatPr defaultRowHeight="15"/>
  <cols>
    <col min="1" max="1" width="8.7109375" customWidth="1"/>
    <col min="2" max="2" width="2.42578125" customWidth="1"/>
    <col min="4" max="4" width="40.7109375" bestFit="1" customWidth="1"/>
    <col min="5" max="5" width="42.140625" style="45" bestFit="1" customWidth="1"/>
    <col min="6" max="6" width="13.7109375" style="45" customWidth="1"/>
    <col min="7" max="11" width="13.7109375" style="43" customWidth="1"/>
    <col min="13" max="13" width="2.42578125" style="40" customWidth="1"/>
    <col min="14" max="14" width="9.28515625" style="40" customWidth="1"/>
  </cols>
  <sheetData>
    <row r="5" spans="2:24">
      <c r="B5" s="36"/>
      <c r="C5" s="36"/>
      <c r="D5" s="36"/>
      <c r="E5" s="37"/>
      <c r="F5" s="37"/>
      <c r="G5" s="38"/>
      <c r="H5" s="38"/>
      <c r="I5" s="38"/>
      <c r="J5" s="38"/>
      <c r="K5" s="38"/>
      <c r="L5" s="36"/>
      <c r="M5" s="39"/>
    </row>
    <row r="6" spans="2:24" ht="15.75" thickBot="1">
      <c r="B6" s="36"/>
      <c r="C6" s="36"/>
      <c r="D6" s="41" t="s">
        <v>99</v>
      </c>
      <c r="E6" s="37"/>
      <c r="F6" s="42" t="s">
        <v>94</v>
      </c>
      <c r="G6" s="42" t="s">
        <v>85</v>
      </c>
      <c r="H6" s="42" t="s">
        <v>86</v>
      </c>
      <c r="I6" s="42" t="s">
        <v>87</v>
      </c>
      <c r="J6" s="42" t="s">
        <v>88</v>
      </c>
      <c r="K6" s="42" t="s">
        <v>89</v>
      </c>
      <c r="L6" s="36"/>
      <c r="M6" s="38"/>
      <c r="N6" s="43"/>
      <c r="Q6" s="44"/>
    </row>
    <row r="7" spans="2:24">
      <c r="B7" s="36"/>
      <c r="M7" s="39"/>
      <c r="Q7" s="44"/>
    </row>
    <row r="8" spans="2:24">
      <c r="B8" s="36"/>
      <c r="D8" t="s">
        <v>51</v>
      </c>
      <c r="E8" s="45" t="s">
        <v>77</v>
      </c>
      <c r="F8" s="10">
        <f>'Decision matrix'!D4</f>
        <v>117.86809281908999</v>
      </c>
      <c r="G8" s="10">
        <f>'Decision matrix'!E4</f>
        <v>23.573618563818002</v>
      </c>
      <c r="H8" s="10">
        <f>'Decision matrix'!F4</f>
        <v>0</v>
      </c>
      <c r="I8" s="10">
        <f>'Decision matrix'!G4</f>
        <v>23.573618563818002</v>
      </c>
      <c r="J8" s="10">
        <f>'Decision matrix'!H4</f>
        <v>47.147237127636004</v>
      </c>
      <c r="K8" s="10">
        <f>'Decision matrix'!I4</f>
        <v>70.720855691454304</v>
      </c>
      <c r="M8" s="38"/>
      <c r="Q8" s="44"/>
    </row>
    <row r="9" spans="2:24">
      <c r="B9" s="36"/>
      <c r="D9" t="s">
        <v>9</v>
      </c>
      <c r="E9" s="45" t="s">
        <v>77</v>
      </c>
      <c r="F9" s="10">
        <f>'Decision matrix'!D5</f>
        <v>0</v>
      </c>
      <c r="G9" s="10">
        <f>'Decision matrix'!E5</f>
        <v>136</v>
      </c>
      <c r="H9" s="10">
        <f>'Decision matrix'!F5</f>
        <v>60</v>
      </c>
      <c r="I9" s="10">
        <f>'Decision matrix'!G5</f>
        <v>52.5</v>
      </c>
      <c r="J9" s="10">
        <f>'Decision matrix'!H5</f>
        <v>70</v>
      </c>
      <c r="K9" s="10">
        <f>'Decision matrix'!I5</f>
        <v>27.5</v>
      </c>
      <c r="M9" s="38"/>
      <c r="Q9" s="44"/>
    </row>
    <row r="10" spans="2:24">
      <c r="B10" s="36"/>
      <c r="D10" s="44" t="s">
        <v>37</v>
      </c>
      <c r="E10" s="45" t="s">
        <v>77</v>
      </c>
      <c r="F10" s="10">
        <f>'Decision matrix'!D6</f>
        <v>0</v>
      </c>
      <c r="G10" s="10">
        <f>'Decision matrix'!E6</f>
        <v>0</v>
      </c>
      <c r="H10" s="10">
        <f>'Decision matrix'!F6</f>
        <v>0</v>
      </c>
      <c r="I10" s="10">
        <f>'Decision matrix'!G6</f>
        <v>4.5</v>
      </c>
      <c r="J10" s="10">
        <f>'Decision matrix'!H6</f>
        <v>6</v>
      </c>
      <c r="K10" s="10">
        <f>'Decision matrix'!I6</f>
        <v>0</v>
      </c>
      <c r="M10" s="38"/>
    </row>
    <row r="11" spans="2:24">
      <c r="B11" s="36"/>
      <c r="D11" s="44" t="s">
        <v>7</v>
      </c>
      <c r="E11" s="45" t="s">
        <v>16</v>
      </c>
      <c r="F11" s="10">
        <f>'Decision matrix'!D7</f>
        <v>675.09225946436254</v>
      </c>
      <c r="G11" s="10">
        <f>'Decision matrix'!E7</f>
        <v>137</v>
      </c>
      <c r="H11" s="10">
        <f>'Decision matrix'!F7</f>
        <v>0</v>
      </c>
      <c r="I11" s="10">
        <f>'Decision matrix'!G7</f>
        <v>163</v>
      </c>
      <c r="J11" s="10">
        <f>'Decision matrix'!H7</f>
        <v>179</v>
      </c>
      <c r="K11" s="10">
        <f>'Decision matrix'!I7</f>
        <v>337.54612973218127</v>
      </c>
      <c r="M11" s="38"/>
    </row>
    <row r="12" spans="2:24">
      <c r="B12" s="36"/>
      <c r="D12" s="44" t="s">
        <v>22</v>
      </c>
      <c r="E12" s="45" t="s">
        <v>26</v>
      </c>
      <c r="F12" s="10">
        <f>'Decision matrix'!D8</f>
        <v>20</v>
      </c>
      <c r="G12" s="10">
        <f>'Decision matrix'!E8</f>
        <v>5</v>
      </c>
      <c r="H12" s="10">
        <f>'Decision matrix'!F8</f>
        <v>0</v>
      </c>
      <c r="I12" s="10">
        <f>'Decision matrix'!G8</f>
        <v>10</v>
      </c>
      <c r="J12" s="10">
        <f>'Decision matrix'!H8</f>
        <v>5</v>
      </c>
      <c r="K12" s="10">
        <f>'Decision matrix'!I8</f>
        <v>10</v>
      </c>
      <c r="M12" s="38"/>
    </row>
    <row r="13" spans="2:24">
      <c r="B13" s="36"/>
      <c r="D13" s="44" t="s">
        <v>21</v>
      </c>
      <c r="E13" s="45" t="s">
        <v>11</v>
      </c>
      <c r="F13" s="10">
        <f>'Decision matrix'!D9</f>
        <v>0</v>
      </c>
      <c r="G13" s="10">
        <f>'Decision matrix'!E9</f>
        <v>265</v>
      </c>
      <c r="H13" s="10">
        <f>'Decision matrix'!F9</f>
        <v>0</v>
      </c>
      <c r="I13" s="10">
        <f>'Decision matrix'!G9</f>
        <v>0</v>
      </c>
      <c r="J13" s="10">
        <f>'Decision matrix'!H9</f>
        <v>0</v>
      </c>
      <c r="K13" s="10">
        <f>'Decision matrix'!I9</f>
        <v>15</v>
      </c>
      <c r="M13" s="38"/>
    </row>
    <row r="14" spans="2:24">
      <c r="B14" s="36"/>
      <c r="D14" s="44" t="s">
        <v>61</v>
      </c>
      <c r="E14" s="45" t="s">
        <v>62</v>
      </c>
      <c r="F14" s="10">
        <f>'Decision matrix'!D10</f>
        <v>13.181468480788094</v>
      </c>
      <c r="G14" s="10">
        <f>'Decision matrix'!E10</f>
        <v>13.181468480788094</v>
      </c>
      <c r="H14" s="10">
        <f>'Decision matrix'!F10</f>
        <v>35.969769922150576</v>
      </c>
      <c r="I14" s="10">
        <f>'Decision matrix'!G10</f>
        <v>22.564886721349122</v>
      </c>
      <c r="J14" s="10">
        <f>'Decision matrix'!H10</f>
        <v>16.756104001001816</v>
      </c>
      <c r="K14" s="10">
        <f>'Decision matrix'!I10</f>
        <v>13.181468480788094</v>
      </c>
      <c r="M14" s="38"/>
    </row>
    <row r="15" spans="2:24">
      <c r="B15" s="36"/>
      <c r="D15" s="44" t="s">
        <v>38</v>
      </c>
      <c r="E15" s="45" t="s">
        <v>77</v>
      </c>
      <c r="F15" s="10">
        <f>'Decision matrix'!D11</f>
        <v>0</v>
      </c>
      <c r="G15" s="10">
        <f>'Decision matrix'!E11</f>
        <v>0</v>
      </c>
      <c r="H15" s="10">
        <f>'Decision matrix'!F11</f>
        <v>0</v>
      </c>
      <c r="I15" s="10">
        <f>'Decision matrix'!G11</f>
        <v>25.295999999999999</v>
      </c>
      <c r="J15" s="10">
        <f>'Decision matrix'!H11</f>
        <v>50.591999999999999</v>
      </c>
      <c r="K15" s="10">
        <f>'Decision matrix'!I11</f>
        <v>0</v>
      </c>
      <c r="M15" s="38"/>
      <c r="S15" s="67">
        <f>-F15</f>
        <v>0</v>
      </c>
      <c r="T15" s="67">
        <f t="shared" ref="T15:X15" si="0">-G15</f>
        <v>0</v>
      </c>
      <c r="U15" s="67">
        <f t="shared" si="0"/>
        <v>0</v>
      </c>
      <c r="V15" s="67">
        <f t="shared" si="0"/>
        <v>-25.295999999999999</v>
      </c>
      <c r="W15" s="67">
        <f t="shared" si="0"/>
        <v>-50.591999999999999</v>
      </c>
      <c r="X15" s="67">
        <f t="shared" si="0"/>
        <v>0</v>
      </c>
    </row>
    <row r="16" spans="2:24">
      <c r="B16" s="36"/>
      <c r="D16" s="44" t="s">
        <v>43</v>
      </c>
      <c r="E16" s="45" t="s">
        <v>77</v>
      </c>
      <c r="F16" s="10">
        <f>'Decision matrix'!D12</f>
        <v>0</v>
      </c>
      <c r="G16" s="10">
        <f>'Decision matrix'!E12</f>
        <v>0</v>
      </c>
      <c r="H16" s="10">
        <f>'Decision matrix'!F12</f>
        <v>0</v>
      </c>
      <c r="I16" s="10">
        <f>'Decision matrix'!G12</f>
        <v>30</v>
      </c>
      <c r="J16" s="10">
        <f>'Decision matrix'!H12</f>
        <v>60</v>
      </c>
      <c r="K16" s="10">
        <f>'Decision matrix'!I12</f>
        <v>0</v>
      </c>
      <c r="M16" s="38"/>
      <c r="S16" s="67">
        <f>-F16</f>
        <v>0</v>
      </c>
      <c r="T16" s="67">
        <f t="shared" ref="T16" si="1">-G16</f>
        <v>0</v>
      </c>
      <c r="U16" s="67">
        <f t="shared" ref="U16" si="2">-H16</f>
        <v>0</v>
      </c>
      <c r="V16" s="67">
        <f t="shared" ref="V16" si="3">-I16</f>
        <v>-30</v>
      </c>
      <c r="W16" s="67">
        <f t="shared" ref="W16" si="4">-J16</f>
        <v>-60</v>
      </c>
      <c r="X16" s="67">
        <f t="shared" ref="X16" si="5">-K16</f>
        <v>0</v>
      </c>
    </row>
    <row r="17" spans="2:13">
      <c r="B17" s="36"/>
      <c r="D17" s="44" t="s">
        <v>8</v>
      </c>
      <c r="E17" s="45" t="s">
        <v>12</v>
      </c>
      <c r="F17" s="10">
        <f>'Decision matrix'!D30</f>
        <v>358</v>
      </c>
      <c r="G17" s="10">
        <f>'Decision matrix'!E30</f>
        <v>89</v>
      </c>
      <c r="H17" s="10">
        <f>'Decision matrix'!F30</f>
        <v>0</v>
      </c>
      <c r="I17" s="10">
        <f>'Decision matrix'!G30</f>
        <v>157</v>
      </c>
      <c r="J17" s="10">
        <f>'Decision matrix'!H30</f>
        <v>178</v>
      </c>
      <c r="K17" s="10">
        <f>'Decision matrix'!I30</f>
        <v>319</v>
      </c>
      <c r="M17" s="38"/>
    </row>
    <row r="18" spans="2:13">
      <c r="B18" s="36"/>
      <c r="D18" s="44" t="s">
        <v>10</v>
      </c>
      <c r="E18" s="45" t="s">
        <v>13</v>
      </c>
      <c r="F18" s="10">
        <f>'Decision matrix'!D14</f>
        <v>0</v>
      </c>
      <c r="G18" s="10">
        <f>'Decision matrix'!E14</f>
        <v>32</v>
      </c>
      <c r="H18" s="10">
        <f>'Decision matrix'!F14</f>
        <v>0</v>
      </c>
      <c r="I18" s="10">
        <f>'Decision matrix'!G14</f>
        <v>0</v>
      </c>
      <c r="J18" s="10">
        <f>'Decision matrix'!H14</f>
        <v>0</v>
      </c>
      <c r="K18" s="10">
        <f>'Decision matrix'!I14</f>
        <v>0</v>
      </c>
      <c r="M18" s="38"/>
    </row>
    <row r="19" spans="2:13">
      <c r="B19" s="36"/>
      <c r="M19" s="38"/>
    </row>
    <row r="20" spans="2:13">
      <c r="B20" s="36"/>
      <c r="C20" s="36"/>
      <c r="D20" s="36"/>
      <c r="E20" s="37"/>
      <c r="F20" s="37"/>
      <c r="G20" s="38"/>
      <c r="H20" s="38"/>
      <c r="I20" s="38"/>
      <c r="J20" s="38"/>
      <c r="K20" s="38"/>
      <c r="L20" s="36"/>
      <c r="M20" s="39"/>
    </row>
    <row r="21" spans="2:13" ht="15.75" thickBot="1">
      <c r="B21" s="36"/>
      <c r="C21" s="36"/>
      <c r="D21" s="41" t="s">
        <v>100</v>
      </c>
      <c r="E21" s="37"/>
      <c r="F21" s="42" t="s">
        <v>94</v>
      </c>
      <c r="G21" s="42" t="s">
        <v>85</v>
      </c>
      <c r="H21" s="42" t="s">
        <v>86</v>
      </c>
      <c r="I21" s="42" t="s">
        <v>87</v>
      </c>
      <c r="J21" s="42" t="s">
        <v>88</v>
      </c>
      <c r="K21" s="42" t="s">
        <v>89</v>
      </c>
      <c r="L21" s="36"/>
      <c r="M21" s="39"/>
    </row>
    <row r="22" spans="2:13">
      <c r="B22" s="36"/>
      <c r="M22" s="39"/>
    </row>
    <row r="23" spans="2:13">
      <c r="B23" s="36"/>
      <c r="M23" s="39"/>
    </row>
    <row r="24" spans="2:13">
      <c r="B24" s="36"/>
      <c r="C24" s="36"/>
      <c r="D24" s="36"/>
      <c r="E24" s="37"/>
      <c r="F24" s="37"/>
      <c r="G24" s="38"/>
      <c r="H24" s="38"/>
      <c r="I24" s="38"/>
      <c r="J24" s="38"/>
      <c r="K24" s="38"/>
      <c r="L24" s="36"/>
      <c r="M24" s="39"/>
    </row>
    <row r="25" spans="2:13" ht="15.75" thickBot="1">
      <c r="B25" s="36"/>
      <c r="C25" s="36"/>
      <c r="D25" s="41" t="s">
        <v>101</v>
      </c>
      <c r="E25" s="37"/>
      <c r="F25" s="37"/>
      <c r="G25" s="38"/>
      <c r="H25" s="38"/>
      <c r="I25" s="38"/>
      <c r="J25" s="38"/>
      <c r="K25" s="38"/>
      <c r="L25" s="36"/>
      <c r="M25" s="39"/>
    </row>
    <row r="26" spans="2:13">
      <c r="B26" s="52"/>
      <c r="M26" s="39"/>
    </row>
    <row r="27" spans="2:13">
      <c r="B27" s="52"/>
      <c r="D27" s="55"/>
      <c r="M27" s="39"/>
    </row>
    <row r="28" spans="2:13">
      <c r="B28" s="52"/>
      <c r="C28" s="36"/>
      <c r="D28" s="36"/>
      <c r="E28" s="37"/>
      <c r="F28" s="37"/>
      <c r="G28" s="38"/>
      <c r="H28" s="38"/>
      <c r="I28" s="38"/>
      <c r="J28" s="38"/>
      <c r="K28" s="38"/>
      <c r="L28" s="36"/>
      <c r="M28" s="39"/>
    </row>
    <row r="29" spans="2:13" ht="15.75" thickBot="1">
      <c r="B29" s="36"/>
      <c r="C29" s="36"/>
      <c r="D29" s="41" t="s">
        <v>53</v>
      </c>
      <c r="E29" s="37"/>
      <c r="F29" s="42" t="s">
        <v>94</v>
      </c>
      <c r="G29" s="42" t="s">
        <v>85</v>
      </c>
      <c r="H29" s="42" t="s">
        <v>86</v>
      </c>
      <c r="I29" s="42" t="s">
        <v>87</v>
      </c>
      <c r="J29" s="42" t="s">
        <v>88</v>
      </c>
      <c r="K29" s="42" t="s">
        <v>89</v>
      </c>
      <c r="L29" s="36"/>
      <c r="M29" s="39"/>
    </row>
    <row r="30" spans="2:13">
      <c r="B30" s="36"/>
      <c r="M30" s="39"/>
    </row>
    <row r="31" spans="2:13">
      <c r="B31" s="36"/>
      <c r="D31" t="str">
        <f>D8</f>
        <v>Material flood risk</v>
      </c>
      <c r="E31" s="48" t="s">
        <v>97</v>
      </c>
      <c r="F31" s="66">
        <f>RANK(F8,$F8:$K8)</f>
        <v>1</v>
      </c>
      <c r="G31" s="66">
        <f t="shared" ref="G31:K31" si="6">RANK(G8,$F8:$K8)</f>
        <v>4</v>
      </c>
      <c r="H31" s="66">
        <f t="shared" si="6"/>
        <v>6</v>
      </c>
      <c r="I31" s="66">
        <f t="shared" si="6"/>
        <v>4</v>
      </c>
      <c r="J31" s="66">
        <f t="shared" si="6"/>
        <v>3</v>
      </c>
      <c r="K31" s="66">
        <f t="shared" si="6"/>
        <v>2</v>
      </c>
      <c r="M31" s="39"/>
    </row>
    <row r="32" spans="2:13">
      <c r="B32" s="36"/>
      <c r="D32" t="str">
        <f t="shared" ref="D32:D41" si="7">D9</f>
        <v>Investment and operating costs</v>
      </c>
      <c r="E32" s="48" t="s">
        <v>97</v>
      </c>
      <c r="F32" s="66">
        <f t="shared" ref="F32:K32" si="8">RANK(F9,$F9:$K9)</f>
        <v>6</v>
      </c>
      <c r="G32" s="66">
        <f t="shared" si="8"/>
        <v>1</v>
      </c>
      <c r="H32" s="66">
        <f t="shared" si="8"/>
        <v>3</v>
      </c>
      <c r="I32" s="66">
        <f t="shared" si="8"/>
        <v>4</v>
      </c>
      <c r="J32" s="66">
        <f t="shared" si="8"/>
        <v>2</v>
      </c>
      <c r="K32" s="66">
        <f t="shared" si="8"/>
        <v>5</v>
      </c>
      <c r="M32" s="39"/>
    </row>
    <row r="33" spans="2:13">
      <c r="B33" s="36"/>
      <c r="D33" t="str">
        <f t="shared" si="7"/>
        <v xml:space="preserve">Loss of agricultural production </v>
      </c>
      <c r="E33" s="48" t="s">
        <v>97</v>
      </c>
      <c r="F33" s="66">
        <f t="shared" ref="F33:K33" si="9">RANK(F10,$F10:$K10)</f>
        <v>3</v>
      </c>
      <c r="G33" s="66">
        <f t="shared" si="9"/>
        <v>3</v>
      </c>
      <c r="H33" s="66">
        <f t="shared" si="9"/>
        <v>3</v>
      </c>
      <c r="I33" s="66">
        <f t="shared" si="9"/>
        <v>2</v>
      </c>
      <c r="J33" s="66">
        <f t="shared" si="9"/>
        <v>1</v>
      </c>
      <c r="K33" s="66">
        <f t="shared" si="9"/>
        <v>3</v>
      </c>
      <c r="M33" s="39"/>
    </row>
    <row r="34" spans="2:13">
      <c r="B34" s="36"/>
      <c r="D34" t="str">
        <f t="shared" si="7"/>
        <v>Social flood risk</v>
      </c>
      <c r="E34" s="48" t="s">
        <v>97</v>
      </c>
      <c r="F34" s="66">
        <f t="shared" ref="F34:K34" si="10">RANK(F11,$F11:$K11)</f>
        <v>1</v>
      </c>
      <c r="G34" s="66">
        <f t="shared" si="10"/>
        <v>5</v>
      </c>
      <c r="H34" s="66">
        <f t="shared" si="10"/>
        <v>6</v>
      </c>
      <c r="I34" s="66">
        <f t="shared" si="10"/>
        <v>4</v>
      </c>
      <c r="J34" s="66">
        <f t="shared" si="10"/>
        <v>3</v>
      </c>
      <c r="K34" s="66">
        <f t="shared" si="10"/>
        <v>2</v>
      </c>
      <c r="M34" s="39"/>
    </row>
    <row r="35" spans="2:13">
      <c r="B35" s="36"/>
      <c r="D35" t="str">
        <f t="shared" si="7"/>
        <v>Fatalities</v>
      </c>
      <c r="E35" s="48" t="s">
        <v>97</v>
      </c>
      <c r="F35" s="66">
        <f t="shared" ref="F35:K35" si="11">RANK(F12,$F12:$K12)</f>
        <v>1</v>
      </c>
      <c r="G35" s="66">
        <f t="shared" si="11"/>
        <v>4</v>
      </c>
      <c r="H35" s="66">
        <f t="shared" si="11"/>
        <v>6</v>
      </c>
      <c r="I35" s="66">
        <f t="shared" si="11"/>
        <v>2</v>
      </c>
      <c r="J35" s="66">
        <f t="shared" si="11"/>
        <v>4</v>
      </c>
      <c r="K35" s="66">
        <f t="shared" si="11"/>
        <v>2</v>
      </c>
      <c r="M35" s="39"/>
    </row>
    <row r="36" spans="2:13">
      <c r="B36" s="36"/>
      <c r="D36" t="str">
        <f t="shared" si="7"/>
        <v>Social impact of expropriation</v>
      </c>
      <c r="E36" s="48" t="s">
        <v>97</v>
      </c>
      <c r="F36" s="66">
        <f t="shared" ref="F36:K36" si="12">RANK(F13,$F13:$K13)</f>
        <v>3</v>
      </c>
      <c r="G36" s="66">
        <f t="shared" si="12"/>
        <v>1</v>
      </c>
      <c r="H36" s="66">
        <f t="shared" si="12"/>
        <v>3</v>
      </c>
      <c r="I36" s="66">
        <f t="shared" si="12"/>
        <v>3</v>
      </c>
      <c r="J36" s="66">
        <f t="shared" si="12"/>
        <v>3</v>
      </c>
      <c r="K36" s="66">
        <f t="shared" si="12"/>
        <v>2</v>
      </c>
      <c r="M36" s="39"/>
    </row>
    <row r="37" spans="2:13">
      <c r="B37" s="36"/>
      <c r="D37" t="str">
        <f t="shared" si="7"/>
        <v>Ecological flood  risk</v>
      </c>
      <c r="E37" s="48" t="s">
        <v>97</v>
      </c>
      <c r="F37" s="66">
        <f t="shared" ref="F37:K37" si="13">RANK(F14,$F14:$K14)</f>
        <v>4</v>
      </c>
      <c r="G37" s="66">
        <f t="shared" si="13"/>
        <v>4</v>
      </c>
      <c r="H37" s="66">
        <f t="shared" si="13"/>
        <v>1</v>
      </c>
      <c r="I37" s="66">
        <f t="shared" si="13"/>
        <v>2</v>
      </c>
      <c r="J37" s="66">
        <f t="shared" si="13"/>
        <v>3</v>
      </c>
      <c r="K37" s="66">
        <f t="shared" si="13"/>
        <v>4</v>
      </c>
      <c r="M37" s="39"/>
    </row>
    <row r="38" spans="2:13">
      <c r="B38" s="36"/>
      <c r="D38" t="str">
        <f t="shared" si="7"/>
        <v>Ecosystem service benefits</v>
      </c>
      <c r="E38" s="48" t="s">
        <v>98</v>
      </c>
      <c r="F38" s="66">
        <f>RANK(S15,$S15:$X15)</f>
        <v>1</v>
      </c>
      <c r="G38" s="66">
        <f t="shared" ref="G38:K38" si="14">RANK(T15,$S15:$X15)</f>
        <v>1</v>
      </c>
      <c r="H38" s="66">
        <f t="shared" si="14"/>
        <v>1</v>
      </c>
      <c r="I38" s="66">
        <f t="shared" si="14"/>
        <v>5</v>
      </c>
      <c r="J38" s="66">
        <f t="shared" si="14"/>
        <v>6</v>
      </c>
      <c r="K38" s="66">
        <f t="shared" si="14"/>
        <v>1</v>
      </c>
      <c r="M38" s="39"/>
    </row>
    <row r="39" spans="2:13">
      <c r="B39" s="36"/>
      <c r="D39" t="str">
        <f t="shared" si="7"/>
        <v>Non-use values</v>
      </c>
      <c r="E39" s="48" t="s">
        <v>98</v>
      </c>
      <c r="F39" s="66">
        <f>RANK(S16,$S16:$X16)</f>
        <v>1</v>
      </c>
      <c r="G39" s="66">
        <f t="shared" ref="G39" si="15">RANK(T16,$S16:$X16)</f>
        <v>1</v>
      </c>
      <c r="H39" s="66">
        <f t="shared" ref="H39" si="16">RANK(U16,$S16:$X16)</f>
        <v>1</v>
      </c>
      <c r="I39" s="66">
        <f t="shared" ref="I39" si="17">RANK(V16,$S16:$X16)</f>
        <v>5</v>
      </c>
      <c r="J39" s="66">
        <f t="shared" ref="J39" si="18">RANK(W16,$S16:$X16)</f>
        <v>6</v>
      </c>
      <c r="K39" s="66">
        <f t="shared" ref="K39" si="19">RANK(X16,$S16:$X16)</f>
        <v>1</v>
      </c>
      <c r="M39" s="39"/>
    </row>
    <row r="40" spans="2:13">
      <c r="B40" s="36"/>
      <c r="D40" t="str">
        <f t="shared" si="7"/>
        <v>Flood impact to cultural heritage</v>
      </c>
      <c r="E40" s="48" t="s">
        <v>97</v>
      </c>
      <c r="F40" s="66">
        <f t="shared" ref="F40:K40" si="20">RANK(F17,$F17:$K17)</f>
        <v>1</v>
      </c>
      <c r="G40" s="66">
        <f t="shared" si="20"/>
        <v>5</v>
      </c>
      <c r="H40" s="66">
        <f t="shared" si="20"/>
        <v>6</v>
      </c>
      <c r="I40" s="66">
        <f t="shared" si="20"/>
        <v>4</v>
      </c>
      <c r="J40" s="66">
        <f t="shared" si="20"/>
        <v>3</v>
      </c>
      <c r="K40" s="66">
        <f t="shared" si="20"/>
        <v>2</v>
      </c>
      <c r="M40" s="39"/>
    </row>
    <row r="41" spans="2:13">
      <c r="B41" s="36"/>
      <c r="D41" t="str">
        <f t="shared" si="7"/>
        <v>Impact from removing cultural heritage</v>
      </c>
      <c r="E41" s="48" t="s">
        <v>97</v>
      </c>
      <c r="F41" s="66">
        <f t="shared" ref="F41:K41" si="21">RANK(F18,$F18:$K18)</f>
        <v>2</v>
      </c>
      <c r="G41" s="66">
        <f t="shared" si="21"/>
        <v>1</v>
      </c>
      <c r="H41" s="66">
        <f t="shared" si="21"/>
        <v>2</v>
      </c>
      <c r="I41" s="66">
        <f t="shared" si="21"/>
        <v>2</v>
      </c>
      <c r="J41" s="66">
        <f t="shared" si="21"/>
        <v>2</v>
      </c>
      <c r="K41" s="66">
        <f t="shared" si="21"/>
        <v>2</v>
      </c>
      <c r="M41" s="39"/>
    </row>
    <row r="42" spans="2:13">
      <c r="B42" s="36"/>
      <c r="M42" s="39"/>
    </row>
    <row r="43" spans="2:13">
      <c r="B43" s="36"/>
      <c r="D43" s="64" t="s">
        <v>93</v>
      </c>
      <c r="F43" s="65">
        <f>SUM(F31:F41)</f>
        <v>24</v>
      </c>
      <c r="G43" s="65">
        <f t="shared" ref="G43:K43" si="22">SUM(G31:G41)</f>
        <v>30</v>
      </c>
      <c r="H43" s="65">
        <f t="shared" si="22"/>
        <v>38</v>
      </c>
      <c r="I43" s="65">
        <f t="shared" si="22"/>
        <v>37</v>
      </c>
      <c r="J43" s="65">
        <f t="shared" si="22"/>
        <v>36</v>
      </c>
      <c r="K43" s="65">
        <f t="shared" si="22"/>
        <v>26</v>
      </c>
      <c r="M43" s="39"/>
    </row>
    <row r="44" spans="2:13">
      <c r="B44" s="36"/>
      <c r="D44" s="64" t="s">
        <v>102</v>
      </c>
      <c r="F44" s="66">
        <f>RANK(F43,$F43:$K43)</f>
        <v>6</v>
      </c>
      <c r="G44" s="66">
        <f t="shared" ref="G44:K44" si="23">RANK(G43,$F43:$K43)</f>
        <v>4</v>
      </c>
      <c r="H44" s="66">
        <f t="shared" si="23"/>
        <v>1</v>
      </c>
      <c r="I44" s="66">
        <f t="shared" si="23"/>
        <v>2</v>
      </c>
      <c r="J44" s="66">
        <f t="shared" si="23"/>
        <v>3</v>
      </c>
      <c r="K44" s="66">
        <f t="shared" si="23"/>
        <v>5</v>
      </c>
      <c r="M44" s="39"/>
    </row>
    <row r="45" spans="2:13">
      <c r="B45" s="36"/>
      <c r="M45" s="39"/>
    </row>
    <row r="46" spans="2:13">
      <c r="B46" s="36"/>
      <c r="M46" s="39"/>
    </row>
    <row r="47" spans="2:13">
      <c r="B47" s="36"/>
      <c r="M47" s="39"/>
    </row>
    <row r="48" spans="2:13">
      <c r="B48" s="36"/>
      <c r="M48" s="39"/>
    </row>
    <row r="49" spans="2:13">
      <c r="B49" s="36"/>
      <c r="M49" s="39"/>
    </row>
    <row r="50" spans="2:13">
      <c r="B50" s="36"/>
      <c r="M50" s="39"/>
    </row>
    <row r="51" spans="2:13">
      <c r="B51" s="36"/>
      <c r="M51" s="39"/>
    </row>
    <row r="52" spans="2:13">
      <c r="B52" s="36"/>
      <c r="M52" s="39"/>
    </row>
    <row r="53" spans="2:13">
      <c r="B53" s="36"/>
      <c r="M53" s="39"/>
    </row>
    <row r="54" spans="2:13">
      <c r="B54" s="36"/>
      <c r="M54" s="39"/>
    </row>
    <row r="55" spans="2:13">
      <c r="B55" s="36"/>
      <c r="M55" s="39"/>
    </row>
    <row r="56" spans="2:13">
      <c r="B56" s="36"/>
      <c r="M56" s="39"/>
    </row>
    <row r="57" spans="2:13">
      <c r="B57" s="36"/>
      <c r="M57" s="39"/>
    </row>
    <row r="58" spans="2:13">
      <c r="B58" s="36"/>
      <c r="M58" s="39"/>
    </row>
    <row r="59" spans="2:13">
      <c r="B59" s="36"/>
      <c r="M59" s="39"/>
    </row>
    <row r="60" spans="2:13">
      <c r="B60" s="36"/>
      <c r="M60" s="39"/>
    </row>
    <row r="61" spans="2:13">
      <c r="B61" s="36"/>
      <c r="M61" s="39"/>
    </row>
    <row r="62" spans="2:13">
      <c r="B62" s="36"/>
      <c r="M62" s="39"/>
    </row>
    <row r="63" spans="2:13">
      <c r="B63" s="36"/>
      <c r="M63" s="39"/>
    </row>
    <row r="64" spans="2:13">
      <c r="B64" s="36"/>
      <c r="M64" s="39"/>
    </row>
    <row r="65" spans="2:13">
      <c r="B65" s="36"/>
      <c r="M65" s="39"/>
    </row>
    <row r="66" spans="2:13">
      <c r="B66" s="36"/>
      <c r="M66" s="39"/>
    </row>
    <row r="67" spans="2:13">
      <c r="B67" s="36"/>
      <c r="M67" s="39"/>
    </row>
    <row r="68" spans="2:13">
      <c r="B68" s="36"/>
      <c r="M68" s="39"/>
    </row>
    <row r="69" spans="2:13">
      <c r="B69" s="36"/>
      <c r="M69" s="39"/>
    </row>
    <row r="70" spans="2:13">
      <c r="B70" s="36"/>
      <c r="M70" s="39"/>
    </row>
    <row r="71" spans="2:13">
      <c r="B71" s="36"/>
      <c r="M71" s="39"/>
    </row>
    <row r="72" spans="2:13">
      <c r="B72" s="36"/>
      <c r="M72" s="39"/>
    </row>
    <row r="73" spans="2:13">
      <c r="B73" s="36"/>
      <c r="M73" s="39"/>
    </row>
    <row r="74" spans="2:13">
      <c r="B74" s="36"/>
      <c r="M74" s="39"/>
    </row>
    <row r="75" spans="2:13">
      <c r="B75" s="36"/>
      <c r="M75" s="39"/>
    </row>
    <row r="76" spans="2:13">
      <c r="B76" s="36"/>
      <c r="M76" s="39"/>
    </row>
    <row r="77" spans="2:13">
      <c r="B77" s="36"/>
      <c r="M77" s="39"/>
    </row>
    <row r="78" spans="2:13">
      <c r="B78" s="36"/>
      <c r="M78" s="39"/>
    </row>
    <row r="79" spans="2:13">
      <c r="B79" s="36"/>
      <c r="C79" s="36"/>
      <c r="D79" s="36"/>
      <c r="E79" s="37"/>
      <c r="F79" s="37"/>
      <c r="G79" s="38"/>
      <c r="H79" s="38"/>
      <c r="I79" s="38"/>
      <c r="J79" s="38"/>
      <c r="K79" s="38"/>
      <c r="L79" s="36"/>
      <c r="M79" s="3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5:Q117"/>
  <sheetViews>
    <sheetView topLeftCell="A70" zoomScale="80" zoomScaleNormal="80" workbookViewId="0">
      <selection activeCell="G55" sqref="G55:G57"/>
    </sheetView>
  </sheetViews>
  <sheetFormatPr defaultRowHeight="15"/>
  <cols>
    <col min="1" max="1" width="8.7109375" customWidth="1"/>
    <col min="2" max="2" width="2.42578125" customWidth="1"/>
    <col min="4" max="4" width="40.7109375" bestFit="1" customWidth="1"/>
    <col min="5" max="5" width="48.7109375" style="45" customWidth="1"/>
    <col min="6" max="6" width="13.7109375" style="45" customWidth="1"/>
    <col min="7" max="11" width="13.7109375" style="43" customWidth="1"/>
    <col min="13" max="13" width="2.42578125" style="40" customWidth="1"/>
    <col min="14" max="14" width="9.28515625" style="40" customWidth="1"/>
  </cols>
  <sheetData>
    <row r="5" spans="2:17">
      <c r="B5" s="36"/>
      <c r="C5" s="36"/>
      <c r="D5" s="36"/>
      <c r="E5" s="37"/>
      <c r="F5" s="37"/>
      <c r="G5" s="38"/>
      <c r="H5" s="38"/>
      <c r="I5" s="38"/>
      <c r="J5" s="38"/>
      <c r="K5" s="38"/>
      <c r="L5" s="36"/>
      <c r="M5" s="39"/>
    </row>
    <row r="6" spans="2:17" ht="15.75" thickBot="1">
      <c r="B6" s="36"/>
      <c r="C6" s="36"/>
      <c r="D6" s="41" t="s">
        <v>99</v>
      </c>
      <c r="E6" s="37"/>
      <c r="F6" s="42" t="s">
        <v>94</v>
      </c>
      <c r="G6" s="42" t="s">
        <v>85</v>
      </c>
      <c r="H6" s="42" t="s">
        <v>86</v>
      </c>
      <c r="I6" s="42" t="s">
        <v>87</v>
      </c>
      <c r="J6" s="42" t="s">
        <v>88</v>
      </c>
      <c r="K6" s="42" t="s">
        <v>89</v>
      </c>
      <c r="L6" s="36"/>
      <c r="M6" s="38"/>
      <c r="N6" s="43"/>
      <c r="Q6" s="44"/>
    </row>
    <row r="7" spans="2:17">
      <c r="B7" s="36"/>
      <c r="M7" s="39"/>
      <c r="Q7" s="44"/>
    </row>
    <row r="8" spans="2:17">
      <c r="B8" s="36"/>
      <c r="D8" t="s">
        <v>51</v>
      </c>
      <c r="E8" s="45" t="s">
        <v>77</v>
      </c>
      <c r="F8" s="10">
        <f>'Decision matrix'!D4</f>
        <v>117.86809281908999</v>
      </c>
      <c r="G8" s="10">
        <f>'Decision matrix'!E4</f>
        <v>23.573618563818002</v>
      </c>
      <c r="H8" s="10">
        <f>'Decision matrix'!F4</f>
        <v>0</v>
      </c>
      <c r="I8" s="10">
        <f>'Decision matrix'!G4</f>
        <v>23.573618563818002</v>
      </c>
      <c r="J8" s="10">
        <f>'Decision matrix'!H4</f>
        <v>47.147237127636004</v>
      </c>
      <c r="K8" s="10">
        <f>'Decision matrix'!I4</f>
        <v>70.720855691454304</v>
      </c>
      <c r="M8" s="38"/>
      <c r="Q8" s="44"/>
    </row>
    <row r="9" spans="2:17">
      <c r="B9" s="36"/>
      <c r="D9" t="s">
        <v>9</v>
      </c>
      <c r="E9" s="45" t="s">
        <v>77</v>
      </c>
      <c r="F9" s="10">
        <f>'Decision matrix'!D5</f>
        <v>0</v>
      </c>
      <c r="G9" s="10">
        <f>'Decision matrix'!E5</f>
        <v>136</v>
      </c>
      <c r="H9" s="10">
        <f>'Decision matrix'!F5</f>
        <v>60</v>
      </c>
      <c r="I9" s="10">
        <f>'Decision matrix'!G5</f>
        <v>52.5</v>
      </c>
      <c r="J9" s="10">
        <f>'Decision matrix'!H5</f>
        <v>70</v>
      </c>
      <c r="K9" s="10">
        <f>'Decision matrix'!I5</f>
        <v>27.5</v>
      </c>
      <c r="M9" s="38"/>
      <c r="Q9" s="44"/>
    </row>
    <row r="10" spans="2:17">
      <c r="B10" s="36"/>
      <c r="D10" s="44" t="s">
        <v>37</v>
      </c>
      <c r="E10" s="45" t="s">
        <v>77</v>
      </c>
      <c r="F10" s="10">
        <f>'Decision matrix'!D6</f>
        <v>0</v>
      </c>
      <c r="G10" s="10">
        <f>'Decision matrix'!E6</f>
        <v>0</v>
      </c>
      <c r="H10" s="10">
        <f>'Decision matrix'!F6</f>
        <v>0</v>
      </c>
      <c r="I10" s="10">
        <f>'Decision matrix'!G6</f>
        <v>4.5</v>
      </c>
      <c r="J10" s="10">
        <f>'Decision matrix'!H6</f>
        <v>6</v>
      </c>
      <c r="K10" s="10">
        <f>'Decision matrix'!I6</f>
        <v>0</v>
      </c>
      <c r="M10" s="38"/>
    </row>
    <row r="11" spans="2:17">
      <c r="B11" s="36"/>
      <c r="D11" s="44" t="s">
        <v>7</v>
      </c>
      <c r="E11" s="45" t="s">
        <v>16</v>
      </c>
      <c r="F11" s="10">
        <f>'Decision matrix'!D7</f>
        <v>675.09225946436254</v>
      </c>
      <c r="G11" s="10">
        <f>'Decision matrix'!E7</f>
        <v>137</v>
      </c>
      <c r="H11" s="10">
        <f>'Decision matrix'!F7</f>
        <v>0</v>
      </c>
      <c r="I11" s="10">
        <f>'Decision matrix'!G7</f>
        <v>163</v>
      </c>
      <c r="J11" s="10">
        <f>'Decision matrix'!H7</f>
        <v>179</v>
      </c>
      <c r="K11" s="10">
        <f>'Decision matrix'!I7</f>
        <v>337.54612973218127</v>
      </c>
      <c r="M11" s="38"/>
    </row>
    <row r="12" spans="2:17">
      <c r="B12" s="36"/>
      <c r="D12" s="44" t="s">
        <v>22</v>
      </c>
      <c r="E12" s="45" t="s">
        <v>26</v>
      </c>
      <c r="F12" s="10">
        <f>'Decision matrix'!D8</f>
        <v>20</v>
      </c>
      <c r="G12" s="10">
        <f>'Decision matrix'!E8</f>
        <v>5</v>
      </c>
      <c r="H12" s="10">
        <f>'Decision matrix'!F8</f>
        <v>0</v>
      </c>
      <c r="I12" s="10">
        <f>'Decision matrix'!G8</f>
        <v>10</v>
      </c>
      <c r="J12" s="10">
        <f>'Decision matrix'!H8</f>
        <v>5</v>
      </c>
      <c r="K12" s="10">
        <f>'Decision matrix'!I8</f>
        <v>10</v>
      </c>
      <c r="M12" s="38"/>
    </row>
    <row r="13" spans="2:17">
      <c r="B13" s="36"/>
      <c r="D13" s="44" t="s">
        <v>21</v>
      </c>
      <c r="E13" s="45" t="s">
        <v>11</v>
      </c>
      <c r="F13" s="10">
        <f>'Decision matrix'!D9</f>
        <v>0</v>
      </c>
      <c r="G13" s="10">
        <f>'Decision matrix'!E9</f>
        <v>265</v>
      </c>
      <c r="H13" s="10">
        <f>'Decision matrix'!F9</f>
        <v>0</v>
      </c>
      <c r="I13" s="10">
        <f>'Decision matrix'!G9</f>
        <v>0</v>
      </c>
      <c r="J13" s="10">
        <f>'Decision matrix'!H9</f>
        <v>0</v>
      </c>
      <c r="K13" s="10">
        <f>'Decision matrix'!I9</f>
        <v>15</v>
      </c>
      <c r="M13" s="38"/>
    </row>
    <row r="14" spans="2:17">
      <c r="B14" s="36"/>
      <c r="D14" s="44" t="s">
        <v>61</v>
      </c>
      <c r="E14" s="45" t="s">
        <v>62</v>
      </c>
      <c r="F14" s="10">
        <f>'Decision matrix'!D10</f>
        <v>13.181468480788094</v>
      </c>
      <c r="G14" s="10">
        <f>'Decision matrix'!E10</f>
        <v>13.181468480788094</v>
      </c>
      <c r="H14" s="10">
        <f>'Decision matrix'!F10</f>
        <v>35.969769922150576</v>
      </c>
      <c r="I14" s="10">
        <f>'Decision matrix'!G10</f>
        <v>22.564886721349122</v>
      </c>
      <c r="J14" s="10">
        <f>'Decision matrix'!H10</f>
        <v>16.756104001001816</v>
      </c>
      <c r="K14" s="10">
        <f>'Decision matrix'!I10</f>
        <v>13.181468480788094</v>
      </c>
      <c r="M14" s="38"/>
    </row>
    <row r="15" spans="2:17">
      <c r="B15" s="36"/>
      <c r="D15" s="44" t="s">
        <v>38</v>
      </c>
      <c r="E15" s="45" t="s">
        <v>77</v>
      </c>
      <c r="F15" s="10">
        <f>'Decision matrix'!D11</f>
        <v>0</v>
      </c>
      <c r="G15" s="10">
        <f>'Decision matrix'!E11</f>
        <v>0</v>
      </c>
      <c r="H15" s="10">
        <f>'Decision matrix'!F11</f>
        <v>0</v>
      </c>
      <c r="I15" s="10">
        <f>'Decision matrix'!G11</f>
        <v>25.295999999999999</v>
      </c>
      <c r="J15" s="10">
        <f>'Decision matrix'!H11</f>
        <v>50.591999999999999</v>
      </c>
      <c r="K15" s="10">
        <f>'Decision matrix'!I11</f>
        <v>0</v>
      </c>
      <c r="M15" s="38"/>
    </row>
    <row r="16" spans="2:17">
      <c r="B16" s="36"/>
      <c r="D16" s="44" t="s">
        <v>43</v>
      </c>
      <c r="E16" s="45" t="s">
        <v>77</v>
      </c>
      <c r="F16" s="10">
        <f>'Decision matrix'!D12</f>
        <v>0</v>
      </c>
      <c r="G16" s="10">
        <f>'Decision matrix'!E12</f>
        <v>0</v>
      </c>
      <c r="H16" s="10">
        <f>'Decision matrix'!F12</f>
        <v>0</v>
      </c>
      <c r="I16" s="10">
        <f>'Decision matrix'!G12</f>
        <v>30</v>
      </c>
      <c r="J16" s="10">
        <f>'Decision matrix'!H12</f>
        <v>60</v>
      </c>
      <c r="K16" s="10">
        <f>'Decision matrix'!I12</f>
        <v>0</v>
      </c>
      <c r="M16" s="38"/>
    </row>
    <row r="17" spans="2:13">
      <c r="B17" s="36"/>
      <c r="D17" s="44" t="s">
        <v>8</v>
      </c>
      <c r="E17" s="45" t="s">
        <v>12</v>
      </c>
      <c r="F17" s="10">
        <f>'Decision matrix'!D30</f>
        <v>358</v>
      </c>
      <c r="G17" s="10">
        <f>'Decision matrix'!E30</f>
        <v>89</v>
      </c>
      <c r="H17" s="10">
        <f>'Decision matrix'!F30</f>
        <v>0</v>
      </c>
      <c r="I17" s="10">
        <f>'Decision matrix'!G30</f>
        <v>157</v>
      </c>
      <c r="J17" s="10">
        <f>'Decision matrix'!H30</f>
        <v>178</v>
      </c>
      <c r="K17" s="10">
        <f>'Decision matrix'!I30</f>
        <v>319</v>
      </c>
      <c r="M17" s="38"/>
    </row>
    <row r="18" spans="2:13">
      <c r="B18" s="36"/>
      <c r="D18" s="44" t="s">
        <v>10</v>
      </c>
      <c r="E18" s="45" t="s">
        <v>13</v>
      </c>
      <c r="F18" s="10">
        <f>'Decision matrix'!D14</f>
        <v>0</v>
      </c>
      <c r="G18" s="10">
        <f>'Decision matrix'!E14</f>
        <v>32</v>
      </c>
      <c r="H18" s="10">
        <f>'Decision matrix'!F14</f>
        <v>0</v>
      </c>
      <c r="I18" s="10">
        <f>'Decision matrix'!G14</f>
        <v>0</v>
      </c>
      <c r="J18" s="10">
        <f>'Decision matrix'!H14</f>
        <v>0</v>
      </c>
      <c r="K18" s="10">
        <f>'Decision matrix'!I14</f>
        <v>0</v>
      </c>
      <c r="M18" s="38"/>
    </row>
    <row r="19" spans="2:13">
      <c r="B19" s="36"/>
      <c r="M19" s="38"/>
    </row>
    <row r="20" spans="2:13">
      <c r="B20" s="36"/>
      <c r="C20" s="36"/>
      <c r="D20" s="36"/>
      <c r="E20" s="37"/>
      <c r="F20" s="37"/>
      <c r="G20" s="38"/>
      <c r="H20" s="38"/>
      <c r="I20" s="38"/>
      <c r="J20" s="38"/>
      <c r="K20" s="38"/>
      <c r="L20" s="36"/>
      <c r="M20" s="39"/>
    </row>
    <row r="21" spans="2:13" ht="15.75" thickBot="1">
      <c r="B21" s="36"/>
      <c r="C21" s="36"/>
      <c r="D21" s="41" t="s">
        <v>100</v>
      </c>
      <c r="E21" s="37"/>
      <c r="F21" s="42" t="s">
        <v>94</v>
      </c>
      <c r="G21" s="42" t="s">
        <v>85</v>
      </c>
      <c r="H21" s="42" t="s">
        <v>86</v>
      </c>
      <c r="I21" s="42" t="s">
        <v>87</v>
      </c>
      <c r="J21" s="42" t="s">
        <v>88</v>
      </c>
      <c r="K21" s="42" t="s">
        <v>89</v>
      </c>
      <c r="L21" s="36"/>
      <c r="M21" s="39"/>
    </row>
    <row r="22" spans="2:13">
      <c r="B22" s="36"/>
      <c r="M22" s="39"/>
    </row>
    <row r="23" spans="2:13">
      <c r="B23" s="36"/>
      <c r="D23" s="46" t="s">
        <v>95</v>
      </c>
      <c r="H23" s="47" t="s">
        <v>90</v>
      </c>
      <c r="I23" s="47" t="s">
        <v>91</v>
      </c>
      <c r="M23" s="39"/>
    </row>
    <row r="24" spans="2:13">
      <c r="B24" s="36"/>
      <c r="D24" s="4" t="str">
        <f>D8</f>
        <v>Material flood risk</v>
      </c>
      <c r="E24" s="59" t="str">
        <f>E8</f>
        <v>million €</v>
      </c>
      <c r="F24" s="48" t="s">
        <v>97</v>
      </c>
      <c r="H24" s="60">
        <f t="shared" ref="H24:H30" si="0">MAX(F8:K8)</f>
        <v>117.86809281908999</v>
      </c>
      <c r="I24" s="60">
        <f t="shared" ref="I24:I30" si="1">MIN(F8:K8)</f>
        <v>0</v>
      </c>
      <c r="M24" s="39"/>
    </row>
    <row r="25" spans="2:13">
      <c r="B25" s="36"/>
      <c r="D25" s="4" t="str">
        <f t="shared" ref="D25:E34" si="2">D9</f>
        <v>Investment and operating costs</v>
      </c>
      <c r="E25" s="59" t="str">
        <f t="shared" si="2"/>
        <v>million €</v>
      </c>
      <c r="F25" s="48" t="s">
        <v>97</v>
      </c>
      <c r="H25" s="60">
        <f t="shared" si="0"/>
        <v>136</v>
      </c>
      <c r="I25" s="60">
        <f t="shared" si="1"/>
        <v>0</v>
      </c>
      <c r="M25" s="39"/>
    </row>
    <row r="26" spans="2:13">
      <c r="B26" s="36"/>
      <c r="D26" s="4" t="str">
        <f t="shared" si="2"/>
        <v xml:space="preserve">Loss of agricultural production </v>
      </c>
      <c r="E26" s="59" t="str">
        <f t="shared" si="2"/>
        <v>million €</v>
      </c>
      <c r="F26" s="48" t="s">
        <v>97</v>
      </c>
      <c r="H26" s="60">
        <f t="shared" si="0"/>
        <v>6</v>
      </c>
      <c r="I26" s="60">
        <f t="shared" si="1"/>
        <v>0</v>
      </c>
      <c r="M26" s="39"/>
    </row>
    <row r="27" spans="2:13">
      <c r="B27" s="36"/>
      <c r="D27" s="4" t="str">
        <f t="shared" si="2"/>
        <v>Social flood risk</v>
      </c>
      <c r="E27" s="59" t="str">
        <f t="shared" si="2"/>
        <v>Social Flood Impact (SFI) score</v>
      </c>
      <c r="F27" s="48" t="s">
        <v>97</v>
      </c>
      <c r="H27" s="60">
        <f t="shared" si="0"/>
        <v>675.09225946436254</v>
      </c>
      <c r="I27" s="60">
        <f t="shared" si="1"/>
        <v>0</v>
      </c>
      <c r="J27" s="49"/>
      <c r="K27" s="49"/>
      <c r="M27" s="39"/>
    </row>
    <row r="28" spans="2:13">
      <c r="B28" s="36"/>
      <c r="D28" s="4" t="str">
        <f t="shared" si="2"/>
        <v>Fatalities</v>
      </c>
      <c r="E28" s="59" t="str">
        <f t="shared" si="2"/>
        <v># deaths</v>
      </c>
      <c r="F28" s="48" t="s">
        <v>97</v>
      </c>
      <c r="H28" s="60">
        <f t="shared" si="0"/>
        <v>20</v>
      </c>
      <c r="I28" s="60">
        <f t="shared" si="1"/>
        <v>0</v>
      </c>
      <c r="M28" s="39"/>
    </row>
    <row r="29" spans="2:13">
      <c r="B29" s="36"/>
      <c r="D29" s="4" t="str">
        <f t="shared" si="2"/>
        <v>Social impact of expropriation</v>
      </c>
      <c r="E29" s="59" t="str">
        <f t="shared" si="2"/>
        <v># people relocated</v>
      </c>
      <c r="F29" s="48" t="s">
        <v>97</v>
      </c>
      <c r="H29" s="60">
        <f t="shared" si="0"/>
        <v>265</v>
      </c>
      <c r="I29" s="60">
        <f t="shared" si="1"/>
        <v>0</v>
      </c>
      <c r="M29" s="39"/>
    </row>
    <row r="30" spans="2:13">
      <c r="B30" s="36"/>
      <c r="D30" s="4" t="str">
        <f t="shared" si="2"/>
        <v>Ecological flood  risk</v>
      </c>
      <c r="E30" s="59" t="str">
        <f t="shared" si="2"/>
        <v>Ecological Flood Impact (EFI) score</v>
      </c>
      <c r="F30" s="48" t="s">
        <v>97</v>
      </c>
      <c r="H30" s="60">
        <f t="shared" si="0"/>
        <v>35.969769922150576</v>
      </c>
      <c r="I30" s="60">
        <f t="shared" si="1"/>
        <v>13.181468480788094</v>
      </c>
      <c r="M30" s="39"/>
    </row>
    <row r="31" spans="2:13">
      <c r="B31" s="36"/>
      <c r="D31" s="4" t="str">
        <f t="shared" si="2"/>
        <v>Ecosystem service benefits</v>
      </c>
      <c r="E31" s="59" t="str">
        <f t="shared" si="2"/>
        <v>million €</v>
      </c>
      <c r="F31" s="48" t="s">
        <v>98</v>
      </c>
      <c r="H31" s="60">
        <f>MIN(F15:K15)</f>
        <v>0</v>
      </c>
      <c r="I31" s="60">
        <f>MAX(F15:K15)</f>
        <v>50.591999999999999</v>
      </c>
      <c r="M31" s="39"/>
    </row>
    <row r="32" spans="2:13">
      <c r="B32" s="36"/>
      <c r="D32" s="4" t="str">
        <f t="shared" si="2"/>
        <v>Non-use values</v>
      </c>
      <c r="E32" s="59" t="str">
        <f t="shared" si="2"/>
        <v>million €</v>
      </c>
      <c r="F32" s="48" t="s">
        <v>98</v>
      </c>
      <c r="H32" s="60">
        <f>MIN(F16:K16)</f>
        <v>0</v>
      </c>
      <c r="I32" s="60">
        <f>MAX(F16:K16)</f>
        <v>60</v>
      </c>
      <c r="M32" s="39"/>
    </row>
    <row r="33" spans="2:13">
      <c r="B33" s="36"/>
      <c r="D33" s="4" t="str">
        <f t="shared" si="2"/>
        <v>Flood impact to cultural heritage</v>
      </c>
      <c r="E33" s="59" t="str">
        <f t="shared" si="2"/>
        <v># properties flooded with a cultural value</v>
      </c>
      <c r="F33" s="48" t="s">
        <v>97</v>
      </c>
      <c r="H33" s="60">
        <f>MAX(F17:K17)</f>
        <v>358</v>
      </c>
      <c r="I33" s="60">
        <f>MIN(F17:K17)</f>
        <v>0</v>
      </c>
      <c r="M33" s="39"/>
    </row>
    <row r="34" spans="2:13">
      <c r="B34" s="36"/>
      <c r="D34" s="4" t="str">
        <f t="shared" si="2"/>
        <v>Impact from removing cultural heritage</v>
      </c>
      <c r="E34" s="59" t="str">
        <f t="shared" si="2"/>
        <v># properties demolished with a cultural value</v>
      </c>
      <c r="F34" s="48" t="s">
        <v>97</v>
      </c>
      <c r="H34" s="60">
        <f>MAX(F18:K18)</f>
        <v>32</v>
      </c>
      <c r="I34" s="60">
        <f>MIN(F18:K18)</f>
        <v>0</v>
      </c>
      <c r="M34" s="39"/>
    </row>
    <row r="35" spans="2:13">
      <c r="B35" s="36"/>
      <c r="D35" s="6"/>
      <c r="M35" s="39"/>
    </row>
    <row r="36" spans="2:13">
      <c r="B36" s="36"/>
      <c r="D36" s="46" t="s">
        <v>96</v>
      </c>
      <c r="M36" s="39"/>
    </row>
    <row r="37" spans="2:13">
      <c r="B37" s="36"/>
      <c r="D37" s="4" t="str">
        <f>D24</f>
        <v>Material flood risk</v>
      </c>
      <c r="E37" s="59"/>
      <c r="F37" s="50">
        <f t="shared" ref="F37:K47" si="3">(F8-($H24))/($I24-($H24))</f>
        <v>0</v>
      </c>
      <c r="G37" s="50">
        <f t="shared" si="3"/>
        <v>0.79999999999999993</v>
      </c>
      <c r="H37" s="50">
        <f t="shared" si="3"/>
        <v>1</v>
      </c>
      <c r="I37" s="50">
        <f t="shared" si="3"/>
        <v>0.79999999999999993</v>
      </c>
      <c r="J37" s="50">
        <f t="shared" si="3"/>
        <v>0.6</v>
      </c>
      <c r="K37" s="50">
        <f t="shared" si="3"/>
        <v>0.39999999999999741</v>
      </c>
      <c r="M37" s="39"/>
    </row>
    <row r="38" spans="2:13">
      <c r="B38" s="36"/>
      <c r="D38" s="4" t="str">
        <f t="shared" ref="D38" si="4">D25</f>
        <v>Investment and operating costs</v>
      </c>
      <c r="E38" s="59"/>
      <c r="F38" s="50">
        <f t="shared" si="3"/>
        <v>1</v>
      </c>
      <c r="G38" s="50">
        <f t="shared" si="3"/>
        <v>0</v>
      </c>
      <c r="H38" s="50">
        <f t="shared" si="3"/>
        <v>0.55882352941176472</v>
      </c>
      <c r="I38" s="50">
        <f t="shared" si="3"/>
        <v>0.61397058823529416</v>
      </c>
      <c r="J38" s="50">
        <f t="shared" si="3"/>
        <v>0.48529411764705882</v>
      </c>
      <c r="K38" s="50">
        <f t="shared" si="3"/>
        <v>0.79779411764705888</v>
      </c>
      <c r="M38" s="39"/>
    </row>
    <row r="39" spans="2:13">
      <c r="B39" s="36"/>
      <c r="D39" s="4" t="str">
        <f t="shared" ref="D39" si="5">D26</f>
        <v xml:space="preserve">Loss of agricultural production </v>
      </c>
      <c r="E39" s="59"/>
      <c r="F39" s="50">
        <f t="shared" si="3"/>
        <v>1</v>
      </c>
      <c r="G39" s="50">
        <f t="shared" si="3"/>
        <v>1</v>
      </c>
      <c r="H39" s="50">
        <f t="shared" si="3"/>
        <v>1</v>
      </c>
      <c r="I39" s="50">
        <f t="shared" si="3"/>
        <v>0.25</v>
      </c>
      <c r="J39" s="50">
        <f t="shared" si="3"/>
        <v>0</v>
      </c>
      <c r="K39" s="50">
        <f t="shared" si="3"/>
        <v>1</v>
      </c>
      <c r="M39" s="39"/>
    </row>
    <row r="40" spans="2:13">
      <c r="B40" s="36"/>
      <c r="D40" s="4" t="str">
        <f t="shared" ref="D40" si="6">D27</f>
        <v>Social flood risk</v>
      </c>
      <c r="E40" s="59"/>
      <c r="F40" s="50">
        <f t="shared" si="3"/>
        <v>0</v>
      </c>
      <c r="G40" s="50">
        <f t="shared" si="3"/>
        <v>0.79706477436328527</v>
      </c>
      <c r="H40" s="50">
        <f t="shared" si="3"/>
        <v>1</v>
      </c>
      <c r="I40" s="50">
        <f t="shared" si="3"/>
        <v>0.75855151986288682</v>
      </c>
      <c r="J40" s="50">
        <f t="shared" si="3"/>
        <v>0.73485105555494934</v>
      </c>
      <c r="K40" s="50">
        <f t="shared" si="3"/>
        <v>0.5</v>
      </c>
      <c r="M40" s="39"/>
    </row>
    <row r="41" spans="2:13">
      <c r="B41" s="36"/>
      <c r="D41" s="4" t="str">
        <f t="shared" ref="D41" si="7">D28</f>
        <v>Fatalities</v>
      </c>
      <c r="E41" s="59"/>
      <c r="F41" s="50">
        <f t="shared" si="3"/>
        <v>0</v>
      </c>
      <c r="G41" s="50">
        <f t="shared" si="3"/>
        <v>0.75</v>
      </c>
      <c r="H41" s="50">
        <f t="shared" si="3"/>
        <v>1</v>
      </c>
      <c r="I41" s="50">
        <f t="shared" si="3"/>
        <v>0.5</v>
      </c>
      <c r="J41" s="50">
        <f t="shared" si="3"/>
        <v>0.75</v>
      </c>
      <c r="K41" s="50">
        <f t="shared" si="3"/>
        <v>0.5</v>
      </c>
      <c r="M41" s="39"/>
    </row>
    <row r="42" spans="2:13">
      <c r="B42" s="36"/>
      <c r="D42" s="4" t="str">
        <f t="shared" ref="D42" si="8">D29</f>
        <v>Social impact of expropriation</v>
      </c>
      <c r="E42" s="59"/>
      <c r="F42" s="50">
        <f t="shared" si="3"/>
        <v>1</v>
      </c>
      <c r="G42" s="50">
        <f t="shared" si="3"/>
        <v>0</v>
      </c>
      <c r="H42" s="50">
        <f t="shared" si="3"/>
        <v>1</v>
      </c>
      <c r="I42" s="50">
        <f t="shared" si="3"/>
        <v>1</v>
      </c>
      <c r="J42" s="50">
        <f t="shared" si="3"/>
        <v>1</v>
      </c>
      <c r="K42" s="50">
        <f t="shared" si="3"/>
        <v>0.94339622641509435</v>
      </c>
      <c r="M42" s="39"/>
    </row>
    <row r="43" spans="2:13">
      <c r="B43" s="36"/>
      <c r="D43" s="4" t="str">
        <f t="shared" ref="D43" si="9">D30</f>
        <v>Ecological flood  risk</v>
      </c>
      <c r="E43" s="59"/>
      <c r="F43" s="50">
        <f t="shared" si="3"/>
        <v>1</v>
      </c>
      <c r="G43" s="50">
        <f t="shared" si="3"/>
        <v>1</v>
      </c>
      <c r="H43" s="50">
        <f t="shared" si="3"/>
        <v>0</v>
      </c>
      <c r="I43" s="50">
        <f t="shared" si="3"/>
        <v>0.58823529411764675</v>
      </c>
      <c r="J43" s="50">
        <f t="shared" si="3"/>
        <v>0.84313725490196079</v>
      </c>
      <c r="K43" s="50">
        <f t="shared" si="3"/>
        <v>1</v>
      </c>
      <c r="M43" s="39"/>
    </row>
    <row r="44" spans="2:13">
      <c r="B44" s="36"/>
      <c r="D44" s="4" t="str">
        <f t="shared" ref="D44" si="10">D31</f>
        <v>Ecosystem service benefits</v>
      </c>
      <c r="E44" s="59"/>
      <c r="F44" s="50">
        <f t="shared" si="3"/>
        <v>0</v>
      </c>
      <c r="G44" s="50">
        <f t="shared" si="3"/>
        <v>0</v>
      </c>
      <c r="H44" s="50">
        <f t="shared" si="3"/>
        <v>0</v>
      </c>
      <c r="I44" s="50">
        <f t="shared" si="3"/>
        <v>0.5</v>
      </c>
      <c r="J44" s="50">
        <f t="shared" si="3"/>
        <v>1</v>
      </c>
      <c r="K44" s="50">
        <f t="shared" si="3"/>
        <v>0</v>
      </c>
      <c r="M44" s="39"/>
    </row>
    <row r="45" spans="2:13">
      <c r="B45" s="36"/>
      <c r="D45" s="4" t="str">
        <f t="shared" ref="D45" si="11">D32</f>
        <v>Non-use values</v>
      </c>
      <c r="E45" s="59"/>
      <c r="F45" s="50">
        <f t="shared" si="3"/>
        <v>0</v>
      </c>
      <c r="G45" s="50">
        <f t="shared" si="3"/>
        <v>0</v>
      </c>
      <c r="H45" s="50">
        <f t="shared" si="3"/>
        <v>0</v>
      </c>
      <c r="I45" s="50">
        <f t="shared" si="3"/>
        <v>0.5</v>
      </c>
      <c r="J45" s="50">
        <f t="shared" si="3"/>
        <v>1</v>
      </c>
      <c r="K45" s="50">
        <f t="shared" si="3"/>
        <v>0</v>
      </c>
      <c r="M45" s="39"/>
    </row>
    <row r="46" spans="2:13">
      <c r="B46" s="36"/>
      <c r="D46" s="4" t="str">
        <f t="shared" ref="D46" si="12">D33</f>
        <v>Flood impact to cultural heritage</v>
      </c>
      <c r="E46" s="59"/>
      <c r="F46" s="50">
        <f t="shared" si="3"/>
        <v>0</v>
      </c>
      <c r="G46" s="50">
        <f t="shared" si="3"/>
        <v>0.75139664804469275</v>
      </c>
      <c r="H46" s="50">
        <f t="shared" si="3"/>
        <v>1</v>
      </c>
      <c r="I46" s="50">
        <f t="shared" si="3"/>
        <v>0.56145251396648044</v>
      </c>
      <c r="J46" s="50">
        <f t="shared" si="3"/>
        <v>0.5027932960893855</v>
      </c>
      <c r="K46" s="50">
        <f t="shared" si="3"/>
        <v>0.10893854748603352</v>
      </c>
      <c r="M46" s="39"/>
    </row>
    <row r="47" spans="2:13">
      <c r="B47" s="36"/>
      <c r="D47" s="4" t="str">
        <f t="shared" ref="D47" si="13">D34</f>
        <v>Impact from removing cultural heritage</v>
      </c>
      <c r="E47" s="59"/>
      <c r="F47" s="50">
        <f t="shared" si="3"/>
        <v>1</v>
      </c>
      <c r="G47" s="50">
        <f t="shared" si="3"/>
        <v>0</v>
      </c>
      <c r="H47" s="50">
        <f t="shared" si="3"/>
        <v>1</v>
      </c>
      <c r="I47" s="50">
        <f t="shared" si="3"/>
        <v>1</v>
      </c>
      <c r="J47" s="50">
        <f t="shared" si="3"/>
        <v>1</v>
      </c>
      <c r="K47" s="50">
        <f t="shared" si="3"/>
        <v>1</v>
      </c>
      <c r="M47" s="39"/>
    </row>
    <row r="48" spans="2:13">
      <c r="B48" s="36"/>
      <c r="M48" s="39"/>
    </row>
    <row r="49" spans="2:13">
      <c r="B49" s="36"/>
      <c r="C49" s="36"/>
      <c r="D49" s="36"/>
      <c r="E49" s="37"/>
      <c r="F49" s="37"/>
      <c r="G49" s="38"/>
      <c r="H49" s="38"/>
      <c r="I49" s="38"/>
      <c r="J49" s="38"/>
      <c r="K49" s="38"/>
      <c r="L49" s="36"/>
      <c r="M49" s="39"/>
    </row>
    <row r="50" spans="2:13" ht="15.75" thickBot="1">
      <c r="B50" s="36"/>
      <c r="C50" s="36"/>
      <c r="D50" s="41" t="s">
        <v>101</v>
      </c>
      <c r="E50" s="37"/>
      <c r="F50" s="37"/>
      <c r="G50" s="38"/>
      <c r="H50" s="38"/>
      <c r="I50" s="38"/>
      <c r="J50" s="38"/>
      <c r="K50" s="38"/>
      <c r="L50" s="36"/>
      <c r="M50" s="39"/>
    </row>
    <row r="51" spans="2:13">
      <c r="B51" s="52"/>
      <c r="M51" s="39"/>
    </row>
    <row r="52" spans="2:13">
      <c r="B52" s="52"/>
      <c r="D52" t="str">
        <f>D8</f>
        <v>Material flood risk</v>
      </c>
      <c r="E52" s="53"/>
      <c r="F52" s="53"/>
      <c r="G52" s="62">
        <f>ABS(I24-H24)/(ABS(I$24-H$24)+ABS(I$25-H$25)+ABS(I$26-H$26)+ABS(H$31-I$31))*(1-G$55-G$56-G$57-G$58-G$60-G$61-G$62)</f>
        <v>0.13667622472688787</v>
      </c>
      <c r="J52" s="61"/>
      <c r="K52" s="61"/>
      <c r="M52" s="39"/>
    </row>
    <row r="53" spans="2:13">
      <c r="B53" s="52"/>
      <c r="D53" t="str">
        <f t="shared" ref="D53:D62" si="14">D9</f>
        <v>Investment and operating costs</v>
      </c>
      <c r="E53" s="53"/>
      <c r="F53" s="53"/>
      <c r="G53" s="62">
        <f t="shared" ref="G53:G54" si="15">ABS(I25-H25)/(ABS(I$24-H$24)+ABS(I$25-H$25)+ABS(I$26-H$26)+ABS(H$31-I$31))*(1-G$55-G$56-G$57-G$58-G$60-G$61-G$62)</f>
        <v>0.15770142808186874</v>
      </c>
      <c r="I53" s="51"/>
      <c r="J53" s="51"/>
      <c r="K53" s="51"/>
      <c r="M53" s="39"/>
    </row>
    <row r="54" spans="2:13">
      <c r="B54" s="52"/>
      <c r="D54" t="str">
        <f t="shared" si="14"/>
        <v xml:space="preserve">Loss of agricultural production </v>
      </c>
      <c r="E54" s="53"/>
      <c r="F54" s="53"/>
      <c r="G54" s="62">
        <f t="shared" si="15"/>
        <v>6.9574159447883263E-3</v>
      </c>
      <c r="H54" s="54"/>
      <c r="J54" s="61"/>
      <c r="K54" s="61"/>
      <c r="M54" s="39"/>
    </row>
    <row r="55" spans="2:13">
      <c r="B55" s="52"/>
      <c r="D55" t="str">
        <f t="shared" si="14"/>
        <v>Social flood risk</v>
      </c>
      <c r="E55" s="53"/>
      <c r="F55" s="53"/>
      <c r="G55" s="63">
        <v>0.2</v>
      </c>
      <c r="M55" s="39"/>
    </row>
    <row r="56" spans="2:13">
      <c r="B56" s="52"/>
      <c r="D56" t="str">
        <f t="shared" si="14"/>
        <v>Fatalities</v>
      </c>
      <c r="E56" s="53"/>
      <c r="F56" s="53"/>
      <c r="G56" s="63">
        <v>0.2</v>
      </c>
      <c r="M56" s="39"/>
    </row>
    <row r="57" spans="2:13">
      <c r="B57" s="52"/>
      <c r="D57" t="str">
        <f t="shared" si="14"/>
        <v>Social impact of expropriation</v>
      </c>
      <c r="E57" s="53"/>
      <c r="F57" s="53"/>
      <c r="G57" s="63">
        <v>0.1</v>
      </c>
      <c r="M57" s="39"/>
    </row>
    <row r="58" spans="2:13">
      <c r="B58" s="52"/>
      <c r="D58" t="str">
        <f t="shared" si="14"/>
        <v>Ecological flood  risk</v>
      </c>
      <c r="E58" s="53"/>
      <c r="F58" s="53"/>
      <c r="G58" s="63">
        <v>0.02</v>
      </c>
      <c r="M58" s="39"/>
    </row>
    <row r="59" spans="2:13">
      <c r="B59" s="52"/>
      <c r="D59" t="str">
        <f t="shared" si="14"/>
        <v>Ecosystem service benefits</v>
      </c>
      <c r="E59" s="53"/>
      <c r="F59" s="53"/>
      <c r="G59" s="62">
        <f>ABS(I31-H31)/(ABS(I$24-H$24)+ABS(I$25-H$25)+ABS(I$26-H$26)+ABS(H$31-I$31))*(1-G$55-G$56-G$57-G$58-G$60-G$61-G$62)</f>
        <v>5.8664931246455172E-2</v>
      </c>
      <c r="M59" s="39"/>
    </row>
    <row r="60" spans="2:13">
      <c r="B60" s="52"/>
      <c r="D60" t="str">
        <f t="shared" si="14"/>
        <v>Non-use values</v>
      </c>
      <c r="E60" s="53"/>
      <c r="F60" s="53"/>
      <c r="G60" s="63">
        <v>0.02</v>
      </c>
      <c r="M60" s="39"/>
    </row>
    <row r="61" spans="2:13">
      <c r="B61" s="52"/>
      <c r="D61" t="str">
        <f t="shared" si="14"/>
        <v>Flood impact to cultural heritage</v>
      </c>
      <c r="E61" s="53"/>
      <c r="F61" s="53"/>
      <c r="G61" s="63">
        <v>0.05</v>
      </c>
      <c r="M61" s="39"/>
    </row>
    <row r="62" spans="2:13">
      <c r="B62" s="52"/>
      <c r="D62" t="str">
        <f t="shared" si="14"/>
        <v>Impact from removing cultural heritage</v>
      </c>
      <c r="E62" s="53"/>
      <c r="F62" s="53"/>
      <c r="G62" s="63">
        <v>0.05</v>
      </c>
      <c r="M62" s="39"/>
    </row>
    <row r="63" spans="2:13">
      <c r="B63" s="52"/>
      <c r="D63" s="55"/>
      <c r="M63" s="39"/>
    </row>
    <row r="64" spans="2:13">
      <c r="B64" s="52"/>
      <c r="D64" s="56" t="s">
        <v>92</v>
      </c>
      <c r="E64" s="57"/>
      <c r="F64" s="57"/>
      <c r="G64" s="57">
        <f>SUM(G52:G63)</f>
        <v>1.0000000000000002</v>
      </c>
      <c r="M64" s="39"/>
    </row>
    <row r="65" spans="2:13">
      <c r="B65" s="52"/>
      <c r="D65" s="55"/>
      <c r="M65" s="39"/>
    </row>
    <row r="66" spans="2:13">
      <c r="B66" s="52"/>
      <c r="C66" s="36"/>
      <c r="D66" s="36"/>
      <c r="E66" s="37"/>
      <c r="F66" s="37"/>
      <c r="G66" s="38"/>
      <c r="H66" s="38"/>
      <c r="I66" s="38"/>
      <c r="J66" s="38"/>
      <c r="K66" s="38"/>
      <c r="L66" s="36"/>
      <c r="M66" s="39"/>
    </row>
    <row r="67" spans="2:13" ht="15.75" thickBot="1">
      <c r="B67" s="36"/>
      <c r="C67" s="36"/>
      <c r="D67" s="41" t="s">
        <v>53</v>
      </c>
      <c r="E67" s="37"/>
      <c r="F67" s="42" t="s">
        <v>94</v>
      </c>
      <c r="G67" s="42" t="s">
        <v>85</v>
      </c>
      <c r="H67" s="42" t="s">
        <v>86</v>
      </c>
      <c r="I67" s="42" t="s">
        <v>87</v>
      </c>
      <c r="J67" s="42" t="s">
        <v>88</v>
      </c>
      <c r="K67" s="42" t="s">
        <v>89</v>
      </c>
      <c r="L67" s="36"/>
      <c r="M67" s="39"/>
    </row>
    <row r="68" spans="2:13">
      <c r="B68" s="36"/>
      <c r="M68" s="39"/>
    </row>
    <row r="69" spans="2:13">
      <c r="B69" s="36"/>
      <c r="D69" t="str">
        <f>D8</f>
        <v>Material flood risk</v>
      </c>
      <c r="E69" s="53"/>
      <c r="F69" s="58">
        <f>F37*$G52</f>
        <v>0</v>
      </c>
      <c r="G69" s="58">
        <f t="shared" ref="G69:K69" si="16">G37*$G52</f>
        <v>0.10934097978151029</v>
      </c>
      <c r="H69" s="58">
        <f t="shared" si="16"/>
        <v>0.13667622472688787</v>
      </c>
      <c r="I69" s="58">
        <f t="shared" si="16"/>
        <v>0.10934097978151029</v>
      </c>
      <c r="J69" s="58">
        <f t="shared" si="16"/>
        <v>8.2005734836132715E-2</v>
      </c>
      <c r="K69" s="58">
        <f t="shared" si="16"/>
        <v>5.4670489890754792E-2</v>
      </c>
      <c r="M69" s="39"/>
    </row>
    <row r="70" spans="2:13">
      <c r="B70" s="36"/>
      <c r="D70" t="str">
        <f t="shared" ref="D70:D79" si="17">D9</f>
        <v>Investment and operating costs</v>
      </c>
      <c r="E70" s="53"/>
      <c r="F70" s="58">
        <f t="shared" ref="F70:K70" si="18">F38*$G53</f>
        <v>0.15770142808186874</v>
      </c>
      <c r="G70" s="58">
        <f t="shared" si="18"/>
        <v>0</v>
      </c>
      <c r="H70" s="58">
        <f t="shared" si="18"/>
        <v>8.812726863398547E-2</v>
      </c>
      <c r="I70" s="58">
        <f t="shared" si="18"/>
        <v>9.6824038564970891E-2</v>
      </c>
      <c r="J70" s="58">
        <f t="shared" si="18"/>
        <v>7.6531575392671594E-2</v>
      </c>
      <c r="K70" s="58">
        <f t="shared" si="18"/>
        <v>0.12581327166825559</v>
      </c>
      <c r="M70" s="39"/>
    </row>
    <row r="71" spans="2:13">
      <c r="B71" s="36"/>
      <c r="D71" t="str">
        <f t="shared" si="17"/>
        <v xml:space="preserve">Loss of agricultural production </v>
      </c>
      <c r="E71" s="53"/>
      <c r="F71" s="58">
        <f t="shared" ref="F71:K71" si="19">F39*$G54</f>
        <v>6.9574159447883263E-3</v>
      </c>
      <c r="G71" s="58">
        <f t="shared" si="19"/>
        <v>6.9574159447883263E-3</v>
      </c>
      <c r="H71" s="58">
        <f t="shared" si="19"/>
        <v>6.9574159447883263E-3</v>
      </c>
      <c r="I71" s="58">
        <f t="shared" si="19"/>
        <v>1.7393539861970816E-3</v>
      </c>
      <c r="J71" s="58">
        <f t="shared" si="19"/>
        <v>0</v>
      </c>
      <c r="K71" s="58">
        <f t="shared" si="19"/>
        <v>6.9574159447883263E-3</v>
      </c>
      <c r="M71" s="39"/>
    </row>
    <row r="72" spans="2:13">
      <c r="B72" s="36"/>
      <c r="D72" t="str">
        <f t="shared" si="17"/>
        <v>Social flood risk</v>
      </c>
      <c r="E72" s="53"/>
      <c r="F72" s="58">
        <f t="shared" ref="F72:K72" si="20">F40*$G55</f>
        <v>0</v>
      </c>
      <c r="G72" s="58">
        <f t="shared" si="20"/>
        <v>0.15941295487265705</v>
      </c>
      <c r="H72" s="58">
        <f t="shared" si="20"/>
        <v>0.2</v>
      </c>
      <c r="I72" s="58">
        <f t="shared" si="20"/>
        <v>0.15171030397257737</v>
      </c>
      <c r="J72" s="58">
        <f t="shared" si="20"/>
        <v>0.14697021111098987</v>
      </c>
      <c r="K72" s="58">
        <f t="shared" si="20"/>
        <v>0.1</v>
      </c>
      <c r="M72" s="39"/>
    </row>
    <row r="73" spans="2:13">
      <c r="B73" s="36"/>
      <c r="D73" t="str">
        <f t="shared" si="17"/>
        <v>Fatalities</v>
      </c>
      <c r="E73" s="53"/>
      <c r="F73" s="58">
        <f t="shared" ref="F73:K73" si="21">F41*$G56</f>
        <v>0</v>
      </c>
      <c r="G73" s="58">
        <f t="shared" si="21"/>
        <v>0.15000000000000002</v>
      </c>
      <c r="H73" s="58">
        <f t="shared" si="21"/>
        <v>0.2</v>
      </c>
      <c r="I73" s="58">
        <f t="shared" si="21"/>
        <v>0.1</v>
      </c>
      <c r="J73" s="58">
        <f t="shared" si="21"/>
        <v>0.15000000000000002</v>
      </c>
      <c r="K73" s="58">
        <f t="shared" si="21"/>
        <v>0.1</v>
      </c>
      <c r="M73" s="39"/>
    </row>
    <row r="74" spans="2:13">
      <c r="B74" s="36"/>
      <c r="D74" t="str">
        <f t="shared" si="17"/>
        <v>Social impact of expropriation</v>
      </c>
      <c r="E74" s="53"/>
      <c r="F74" s="58">
        <f t="shared" ref="F74:K74" si="22">F42*$G57</f>
        <v>0.1</v>
      </c>
      <c r="G74" s="58">
        <f t="shared" si="22"/>
        <v>0</v>
      </c>
      <c r="H74" s="58">
        <f t="shared" si="22"/>
        <v>0.1</v>
      </c>
      <c r="I74" s="58">
        <f t="shared" si="22"/>
        <v>0.1</v>
      </c>
      <c r="J74" s="58">
        <f t="shared" si="22"/>
        <v>0.1</v>
      </c>
      <c r="K74" s="58">
        <f t="shared" si="22"/>
        <v>9.4339622641509441E-2</v>
      </c>
      <c r="M74" s="39"/>
    </row>
    <row r="75" spans="2:13">
      <c r="B75" s="36"/>
      <c r="D75" t="str">
        <f t="shared" si="17"/>
        <v>Ecological flood  risk</v>
      </c>
      <c r="E75" s="53"/>
      <c r="F75" s="58">
        <f t="shared" ref="F75:K75" si="23">F43*$G58</f>
        <v>0.02</v>
      </c>
      <c r="G75" s="58">
        <f t="shared" si="23"/>
        <v>0.02</v>
      </c>
      <c r="H75" s="58">
        <f t="shared" si="23"/>
        <v>0</v>
      </c>
      <c r="I75" s="58">
        <f t="shared" si="23"/>
        <v>1.1764705882352936E-2</v>
      </c>
      <c r="J75" s="58">
        <f t="shared" si="23"/>
        <v>1.6862745098039218E-2</v>
      </c>
      <c r="K75" s="58">
        <f t="shared" si="23"/>
        <v>0.02</v>
      </c>
      <c r="M75" s="39"/>
    </row>
    <row r="76" spans="2:13">
      <c r="B76" s="36"/>
      <c r="D76" t="str">
        <f t="shared" si="17"/>
        <v>Ecosystem service benefits</v>
      </c>
      <c r="E76" s="53"/>
      <c r="F76" s="58">
        <f t="shared" ref="F76:K76" si="24">F44*$G59</f>
        <v>0</v>
      </c>
      <c r="G76" s="58">
        <f t="shared" si="24"/>
        <v>0</v>
      </c>
      <c r="H76" s="58">
        <f t="shared" si="24"/>
        <v>0</v>
      </c>
      <c r="I76" s="58">
        <f t="shared" si="24"/>
        <v>2.9332465623227586E-2</v>
      </c>
      <c r="J76" s="58">
        <f t="shared" si="24"/>
        <v>5.8664931246455172E-2</v>
      </c>
      <c r="K76" s="58">
        <f t="shared" si="24"/>
        <v>0</v>
      </c>
      <c r="M76" s="39"/>
    </row>
    <row r="77" spans="2:13">
      <c r="B77" s="36"/>
      <c r="D77" t="str">
        <f t="shared" si="17"/>
        <v>Non-use values</v>
      </c>
      <c r="E77" s="53"/>
      <c r="F77" s="58">
        <f t="shared" ref="F77:K77" si="25">F45*$G60</f>
        <v>0</v>
      </c>
      <c r="G77" s="58">
        <f t="shared" si="25"/>
        <v>0</v>
      </c>
      <c r="H77" s="58">
        <f t="shared" si="25"/>
        <v>0</v>
      </c>
      <c r="I77" s="58">
        <f t="shared" si="25"/>
        <v>0.01</v>
      </c>
      <c r="J77" s="58">
        <f t="shared" si="25"/>
        <v>0.02</v>
      </c>
      <c r="K77" s="58">
        <f t="shared" si="25"/>
        <v>0</v>
      </c>
      <c r="M77" s="39"/>
    </row>
    <row r="78" spans="2:13">
      <c r="B78" s="36"/>
      <c r="D78" t="str">
        <f t="shared" si="17"/>
        <v>Flood impact to cultural heritage</v>
      </c>
      <c r="E78" s="53"/>
      <c r="F78" s="58">
        <f t="shared" ref="F78:K78" si="26">F46*$G61</f>
        <v>0</v>
      </c>
      <c r="G78" s="58">
        <f t="shared" si="26"/>
        <v>3.7569832402234639E-2</v>
      </c>
      <c r="H78" s="58">
        <f t="shared" si="26"/>
        <v>0.05</v>
      </c>
      <c r="I78" s="58">
        <f t="shared" si="26"/>
        <v>2.8072625698324024E-2</v>
      </c>
      <c r="J78" s="58">
        <f t="shared" si="26"/>
        <v>2.5139664804469275E-2</v>
      </c>
      <c r="K78" s="58">
        <f t="shared" si="26"/>
        <v>5.4469273743016763E-3</v>
      </c>
      <c r="M78" s="39"/>
    </row>
    <row r="79" spans="2:13">
      <c r="B79" s="36"/>
      <c r="D79" t="str">
        <f t="shared" si="17"/>
        <v>Impact from removing cultural heritage</v>
      </c>
      <c r="E79" s="53"/>
      <c r="F79" s="58">
        <f t="shared" ref="F79:K79" si="27">F47*$G62</f>
        <v>0.05</v>
      </c>
      <c r="G79" s="58">
        <f t="shared" si="27"/>
        <v>0</v>
      </c>
      <c r="H79" s="58">
        <f t="shared" si="27"/>
        <v>0.05</v>
      </c>
      <c r="I79" s="58">
        <f t="shared" si="27"/>
        <v>0.05</v>
      </c>
      <c r="J79" s="58">
        <f t="shared" si="27"/>
        <v>0.05</v>
      </c>
      <c r="K79" s="58">
        <f t="shared" si="27"/>
        <v>0.05</v>
      </c>
      <c r="M79" s="39"/>
    </row>
    <row r="80" spans="2:13">
      <c r="B80" s="36"/>
      <c r="M80" s="39"/>
    </row>
    <row r="81" spans="2:13">
      <c r="B81" s="36"/>
      <c r="D81" s="64" t="s">
        <v>93</v>
      </c>
      <c r="F81" s="65">
        <f>SUM(F69:F79)</f>
        <v>0.33465884402665708</v>
      </c>
      <c r="G81" s="65">
        <f t="shared" ref="G81:K81" si="28">SUM(G69:G79)</f>
        <v>0.48328118300119038</v>
      </c>
      <c r="H81" s="65">
        <f t="shared" si="28"/>
        <v>0.83176090930566182</v>
      </c>
      <c r="I81" s="65">
        <f t="shared" si="28"/>
        <v>0.68878447350916017</v>
      </c>
      <c r="J81" s="65">
        <f t="shared" si="28"/>
        <v>0.72617486248875796</v>
      </c>
      <c r="K81" s="65">
        <f t="shared" si="28"/>
        <v>0.55722772751960981</v>
      </c>
      <c r="M81" s="39"/>
    </row>
    <row r="82" spans="2:13">
      <c r="B82" s="36"/>
      <c r="D82" s="64" t="s">
        <v>102</v>
      </c>
      <c r="F82" s="66">
        <f>RANK(F81,$F81:$K81)</f>
        <v>6</v>
      </c>
      <c r="G82" s="66">
        <f t="shared" ref="G82:K82" si="29">RANK(G81,$F81:$K81)</f>
        <v>5</v>
      </c>
      <c r="H82" s="66">
        <f t="shared" si="29"/>
        <v>1</v>
      </c>
      <c r="I82" s="66">
        <f t="shared" si="29"/>
        <v>3</v>
      </c>
      <c r="J82" s="66">
        <f t="shared" si="29"/>
        <v>2</v>
      </c>
      <c r="K82" s="66">
        <f t="shared" si="29"/>
        <v>4</v>
      </c>
      <c r="M82" s="39"/>
    </row>
    <row r="83" spans="2:13">
      <c r="B83" s="36"/>
      <c r="M83" s="39"/>
    </row>
    <row r="84" spans="2:13">
      <c r="B84" s="36"/>
      <c r="M84" s="39"/>
    </row>
    <row r="85" spans="2:13">
      <c r="B85" s="36"/>
      <c r="M85" s="39"/>
    </row>
    <row r="86" spans="2:13">
      <c r="B86" s="36"/>
      <c r="M86" s="39"/>
    </row>
    <row r="87" spans="2:13">
      <c r="B87" s="36"/>
      <c r="M87" s="39"/>
    </row>
    <row r="88" spans="2:13">
      <c r="B88" s="36"/>
      <c r="M88" s="39"/>
    </row>
    <row r="89" spans="2:13">
      <c r="B89" s="36"/>
      <c r="M89" s="39"/>
    </row>
    <row r="90" spans="2:13">
      <c r="B90" s="36"/>
      <c r="M90" s="39"/>
    </row>
    <row r="91" spans="2:13">
      <c r="B91" s="36"/>
      <c r="M91" s="39"/>
    </row>
    <row r="92" spans="2:13">
      <c r="B92" s="36"/>
      <c r="M92" s="39"/>
    </row>
    <row r="93" spans="2:13">
      <c r="B93" s="36"/>
      <c r="M93" s="39"/>
    </row>
    <row r="94" spans="2:13">
      <c r="B94" s="36"/>
      <c r="M94" s="39"/>
    </row>
    <row r="95" spans="2:13">
      <c r="B95" s="36"/>
      <c r="M95" s="39"/>
    </row>
    <row r="96" spans="2:13">
      <c r="B96" s="36"/>
      <c r="M96" s="39"/>
    </row>
    <row r="97" spans="2:13">
      <c r="B97" s="36"/>
      <c r="M97" s="39"/>
    </row>
    <row r="98" spans="2:13">
      <c r="B98" s="36"/>
      <c r="M98" s="39"/>
    </row>
    <row r="99" spans="2:13">
      <c r="B99" s="36"/>
      <c r="M99" s="39"/>
    </row>
    <row r="100" spans="2:13">
      <c r="B100" s="36"/>
      <c r="M100" s="39"/>
    </row>
    <row r="101" spans="2:13">
      <c r="B101" s="36"/>
      <c r="M101" s="39"/>
    </row>
    <row r="102" spans="2:13">
      <c r="B102" s="36"/>
      <c r="M102" s="39"/>
    </row>
    <row r="103" spans="2:13">
      <c r="B103" s="36"/>
      <c r="M103" s="39"/>
    </row>
    <row r="104" spans="2:13">
      <c r="B104" s="36"/>
      <c r="M104" s="39"/>
    </row>
    <row r="105" spans="2:13">
      <c r="B105" s="36"/>
      <c r="M105" s="39"/>
    </row>
    <row r="106" spans="2:13">
      <c r="B106" s="36"/>
      <c r="M106" s="39"/>
    </row>
    <row r="107" spans="2:13">
      <c r="B107" s="36"/>
      <c r="M107" s="39"/>
    </row>
    <row r="108" spans="2:13">
      <c r="B108" s="36"/>
      <c r="M108" s="39"/>
    </row>
    <row r="109" spans="2:13">
      <c r="B109" s="36"/>
      <c r="M109" s="39"/>
    </row>
    <row r="110" spans="2:13">
      <c r="B110" s="36"/>
      <c r="M110" s="39"/>
    </row>
    <row r="111" spans="2:13">
      <c r="B111" s="36"/>
      <c r="M111" s="39"/>
    </row>
    <row r="112" spans="2:13">
      <c r="B112" s="36"/>
      <c r="M112" s="39"/>
    </row>
    <row r="113" spans="2:13">
      <c r="B113" s="36"/>
      <c r="M113" s="39"/>
    </row>
    <row r="114" spans="2:13">
      <c r="B114" s="36"/>
      <c r="M114" s="39"/>
    </row>
    <row r="115" spans="2:13">
      <c r="B115" s="36"/>
      <c r="M115" s="39"/>
    </row>
    <row r="116" spans="2:13">
      <c r="B116" s="36"/>
      <c r="M116" s="39"/>
    </row>
    <row r="117" spans="2:13">
      <c r="B117" s="36"/>
      <c r="C117" s="36"/>
      <c r="D117" s="36"/>
      <c r="E117" s="37"/>
      <c r="F117" s="37"/>
      <c r="G117" s="38"/>
      <c r="H117" s="38"/>
      <c r="I117" s="38"/>
      <c r="J117" s="38"/>
      <c r="K117" s="38"/>
      <c r="L117" s="36"/>
      <c r="M117" s="39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5:Q117"/>
  <sheetViews>
    <sheetView tabSelected="1" topLeftCell="A70" zoomScale="80" zoomScaleNormal="80" workbookViewId="0">
      <selection activeCell="H59" sqref="H59"/>
    </sheetView>
  </sheetViews>
  <sheetFormatPr defaultRowHeight="15"/>
  <cols>
    <col min="1" max="1" width="8.7109375" customWidth="1"/>
    <col min="2" max="2" width="2.42578125" customWidth="1"/>
    <col min="4" max="4" width="40.7109375" bestFit="1" customWidth="1"/>
    <col min="5" max="5" width="42.140625" style="45" bestFit="1" customWidth="1"/>
    <col min="6" max="6" width="13.7109375" style="45" customWidth="1"/>
    <col min="7" max="11" width="13.7109375" style="43" customWidth="1"/>
    <col min="13" max="13" width="2.42578125" style="40" customWidth="1"/>
    <col min="14" max="14" width="9.28515625" style="40" customWidth="1"/>
  </cols>
  <sheetData>
    <row r="5" spans="2:17">
      <c r="B5" s="36"/>
      <c r="C5" s="36"/>
      <c r="D5" s="36"/>
      <c r="E5" s="37"/>
      <c r="F5" s="37"/>
      <c r="G5" s="38"/>
      <c r="H5" s="38"/>
      <c r="I5" s="38"/>
      <c r="J5" s="38"/>
      <c r="K5" s="38"/>
      <c r="L5" s="36"/>
      <c r="M5" s="39"/>
    </row>
    <row r="6" spans="2:17" ht="15.75" thickBot="1">
      <c r="B6" s="36"/>
      <c r="C6" s="36"/>
      <c r="D6" s="41" t="s">
        <v>99</v>
      </c>
      <c r="E6" s="37"/>
      <c r="F6" s="42" t="s">
        <v>94</v>
      </c>
      <c r="G6" s="42" t="s">
        <v>85</v>
      </c>
      <c r="H6" s="42" t="s">
        <v>86</v>
      </c>
      <c r="I6" s="42" t="s">
        <v>87</v>
      </c>
      <c r="J6" s="42" t="s">
        <v>88</v>
      </c>
      <c r="K6" s="42" t="s">
        <v>89</v>
      </c>
      <c r="L6" s="36"/>
      <c r="M6" s="38"/>
      <c r="N6" s="43"/>
      <c r="Q6" s="44"/>
    </row>
    <row r="7" spans="2:17">
      <c r="B7" s="36"/>
      <c r="M7" s="39"/>
      <c r="Q7" s="44"/>
    </row>
    <row r="8" spans="2:17">
      <c r="B8" s="36"/>
      <c r="D8" t="s">
        <v>51</v>
      </c>
      <c r="E8" s="45" t="s">
        <v>77</v>
      </c>
      <c r="F8" s="10">
        <f>'Decision matrix'!D4</f>
        <v>117.86809281908999</v>
      </c>
      <c r="G8" s="10">
        <f>'Decision matrix'!E4</f>
        <v>23.573618563818002</v>
      </c>
      <c r="H8" s="10">
        <f>'Decision matrix'!F4</f>
        <v>0</v>
      </c>
      <c r="I8" s="10">
        <f>'Decision matrix'!G4</f>
        <v>23.573618563818002</v>
      </c>
      <c r="J8" s="10">
        <f>'Decision matrix'!H4</f>
        <v>47.147237127636004</v>
      </c>
      <c r="K8" s="10">
        <f>'Decision matrix'!I4</f>
        <v>70.720855691454304</v>
      </c>
      <c r="M8" s="38"/>
      <c r="Q8" s="44"/>
    </row>
    <row r="9" spans="2:17">
      <c r="B9" s="36"/>
      <c r="D9" t="s">
        <v>9</v>
      </c>
      <c r="E9" s="45" t="s">
        <v>77</v>
      </c>
      <c r="F9" s="10">
        <f>'Decision matrix'!D5</f>
        <v>0</v>
      </c>
      <c r="G9" s="10">
        <f>'Decision matrix'!E5</f>
        <v>136</v>
      </c>
      <c r="H9" s="10">
        <f>'Decision matrix'!F5</f>
        <v>60</v>
      </c>
      <c r="I9" s="10">
        <f>'Decision matrix'!G5</f>
        <v>52.5</v>
      </c>
      <c r="J9" s="10">
        <f>'Decision matrix'!H5</f>
        <v>70</v>
      </c>
      <c r="K9" s="10">
        <f>'Decision matrix'!I5</f>
        <v>27.5</v>
      </c>
      <c r="M9" s="38"/>
      <c r="Q9" s="44"/>
    </row>
    <row r="10" spans="2:17">
      <c r="B10" s="36"/>
      <c r="D10" s="44" t="s">
        <v>37</v>
      </c>
      <c r="E10" s="45" t="s">
        <v>77</v>
      </c>
      <c r="F10" s="10">
        <f>'Decision matrix'!D6</f>
        <v>0</v>
      </c>
      <c r="G10" s="10">
        <f>'Decision matrix'!E6</f>
        <v>0</v>
      </c>
      <c r="H10" s="10">
        <f>'Decision matrix'!F6</f>
        <v>0</v>
      </c>
      <c r="I10" s="10">
        <f>'Decision matrix'!G6</f>
        <v>4.5</v>
      </c>
      <c r="J10" s="10">
        <f>'Decision matrix'!H6</f>
        <v>6</v>
      </c>
      <c r="K10" s="10">
        <f>'Decision matrix'!I6</f>
        <v>0</v>
      </c>
      <c r="M10" s="38"/>
    </row>
    <row r="11" spans="2:17">
      <c r="B11" s="36"/>
      <c r="D11" s="44" t="s">
        <v>7</v>
      </c>
      <c r="E11" s="45" t="s">
        <v>16</v>
      </c>
      <c r="F11" s="10">
        <f>'Decision matrix'!D7</f>
        <v>675.09225946436254</v>
      </c>
      <c r="G11" s="10">
        <f>'Decision matrix'!E7</f>
        <v>137</v>
      </c>
      <c r="H11" s="10">
        <f>'Decision matrix'!F7</f>
        <v>0</v>
      </c>
      <c r="I11" s="10">
        <f>'Decision matrix'!G7</f>
        <v>163</v>
      </c>
      <c r="J11" s="10">
        <f>'Decision matrix'!H7</f>
        <v>179</v>
      </c>
      <c r="K11" s="10">
        <f>'Decision matrix'!I7</f>
        <v>337.54612973218127</v>
      </c>
      <c r="M11" s="38"/>
    </row>
    <row r="12" spans="2:17">
      <c r="B12" s="36"/>
      <c r="D12" s="44" t="s">
        <v>22</v>
      </c>
      <c r="E12" s="45" t="s">
        <v>26</v>
      </c>
      <c r="F12" s="10">
        <f>'Decision matrix'!D8</f>
        <v>20</v>
      </c>
      <c r="G12" s="10">
        <f>'Decision matrix'!E8</f>
        <v>5</v>
      </c>
      <c r="H12" s="10">
        <f>'Decision matrix'!F8</f>
        <v>0</v>
      </c>
      <c r="I12" s="10">
        <f>'Decision matrix'!G8</f>
        <v>10</v>
      </c>
      <c r="J12" s="10">
        <f>'Decision matrix'!H8</f>
        <v>5</v>
      </c>
      <c r="K12" s="10">
        <f>'Decision matrix'!I8</f>
        <v>10</v>
      </c>
      <c r="M12" s="38"/>
    </row>
    <row r="13" spans="2:17">
      <c r="B13" s="36"/>
      <c r="D13" s="44" t="s">
        <v>21</v>
      </c>
      <c r="E13" s="45" t="s">
        <v>11</v>
      </c>
      <c r="F13" s="10">
        <f>'Decision matrix'!D9</f>
        <v>0</v>
      </c>
      <c r="G13" s="10">
        <f>'Decision matrix'!E9</f>
        <v>265</v>
      </c>
      <c r="H13" s="10">
        <f>'Decision matrix'!F9</f>
        <v>0</v>
      </c>
      <c r="I13" s="10">
        <f>'Decision matrix'!G9</f>
        <v>0</v>
      </c>
      <c r="J13" s="10">
        <f>'Decision matrix'!H9</f>
        <v>0</v>
      </c>
      <c r="K13" s="10">
        <f>'Decision matrix'!I9</f>
        <v>15</v>
      </c>
      <c r="M13" s="38"/>
    </row>
    <row r="14" spans="2:17">
      <c r="B14" s="36"/>
      <c r="D14" s="44" t="s">
        <v>61</v>
      </c>
      <c r="E14" s="45" t="s">
        <v>62</v>
      </c>
      <c r="F14" s="10">
        <f>'Decision matrix'!D10</f>
        <v>13.181468480788094</v>
      </c>
      <c r="G14" s="10">
        <f>'Decision matrix'!E10</f>
        <v>13.181468480788094</v>
      </c>
      <c r="H14" s="10">
        <f>'Decision matrix'!F10</f>
        <v>35.969769922150576</v>
      </c>
      <c r="I14" s="10">
        <f>'Decision matrix'!G10</f>
        <v>22.564886721349122</v>
      </c>
      <c r="J14" s="10">
        <f>'Decision matrix'!H10</f>
        <v>16.756104001001816</v>
      </c>
      <c r="K14" s="10">
        <f>'Decision matrix'!I10</f>
        <v>13.181468480788094</v>
      </c>
      <c r="M14" s="38"/>
    </row>
    <row r="15" spans="2:17">
      <c r="B15" s="36"/>
      <c r="D15" s="44" t="s">
        <v>38</v>
      </c>
      <c r="E15" s="45" t="s">
        <v>77</v>
      </c>
      <c r="F15" s="10">
        <f>'Decision matrix'!D11</f>
        <v>0</v>
      </c>
      <c r="G15" s="10">
        <f>'Decision matrix'!E11</f>
        <v>0</v>
      </c>
      <c r="H15" s="10">
        <f>'Decision matrix'!F11</f>
        <v>0</v>
      </c>
      <c r="I15" s="10">
        <f>'Decision matrix'!G11</f>
        <v>25.295999999999999</v>
      </c>
      <c r="J15" s="10">
        <f>'Decision matrix'!H11</f>
        <v>50.591999999999999</v>
      </c>
      <c r="K15" s="10">
        <f>'Decision matrix'!I11</f>
        <v>0</v>
      </c>
      <c r="M15" s="38"/>
    </row>
    <row r="16" spans="2:17">
      <c r="B16" s="36"/>
      <c r="D16" s="44" t="s">
        <v>43</v>
      </c>
      <c r="E16" s="45" t="s">
        <v>77</v>
      </c>
      <c r="F16" s="10">
        <f>'Decision matrix'!D12</f>
        <v>0</v>
      </c>
      <c r="G16" s="10">
        <f>'Decision matrix'!E12</f>
        <v>0</v>
      </c>
      <c r="H16" s="10">
        <f>'Decision matrix'!F12</f>
        <v>0</v>
      </c>
      <c r="I16" s="10">
        <f>'Decision matrix'!G12</f>
        <v>30</v>
      </c>
      <c r="J16" s="10">
        <f>'Decision matrix'!H12</f>
        <v>60</v>
      </c>
      <c r="K16" s="10">
        <f>'Decision matrix'!I12</f>
        <v>0</v>
      </c>
      <c r="M16" s="38"/>
    </row>
    <row r="17" spans="2:13">
      <c r="B17" s="36"/>
      <c r="D17" s="44" t="s">
        <v>8</v>
      </c>
      <c r="E17" s="45" t="s">
        <v>12</v>
      </c>
      <c r="F17" s="10">
        <f>'Decision matrix'!D30</f>
        <v>358</v>
      </c>
      <c r="G17" s="10">
        <f>'Decision matrix'!E30</f>
        <v>89</v>
      </c>
      <c r="H17" s="10">
        <f>'Decision matrix'!F30</f>
        <v>0</v>
      </c>
      <c r="I17" s="10">
        <f>'Decision matrix'!G30</f>
        <v>157</v>
      </c>
      <c r="J17" s="10">
        <f>'Decision matrix'!H30</f>
        <v>178</v>
      </c>
      <c r="K17" s="10">
        <f>'Decision matrix'!I30</f>
        <v>319</v>
      </c>
      <c r="M17" s="38"/>
    </row>
    <row r="18" spans="2:13">
      <c r="B18" s="36"/>
      <c r="D18" s="44" t="s">
        <v>10</v>
      </c>
      <c r="E18" s="45" t="s">
        <v>13</v>
      </c>
      <c r="F18" s="10">
        <f>'Decision matrix'!D14</f>
        <v>0</v>
      </c>
      <c r="G18" s="10">
        <f>'Decision matrix'!E14</f>
        <v>32</v>
      </c>
      <c r="H18" s="10">
        <f>'Decision matrix'!F14</f>
        <v>0</v>
      </c>
      <c r="I18" s="10">
        <f>'Decision matrix'!G14</f>
        <v>0</v>
      </c>
      <c r="J18" s="10">
        <f>'Decision matrix'!H14</f>
        <v>0</v>
      </c>
      <c r="K18" s="10">
        <f>'Decision matrix'!I14</f>
        <v>0</v>
      </c>
      <c r="M18" s="38"/>
    </row>
    <row r="19" spans="2:13">
      <c r="B19" s="36"/>
      <c r="M19" s="38"/>
    </row>
    <row r="20" spans="2:13">
      <c r="B20" s="36"/>
      <c r="C20" s="36"/>
      <c r="D20" s="36"/>
      <c r="E20" s="37"/>
      <c r="F20" s="37"/>
      <c r="G20" s="38"/>
      <c r="H20" s="38"/>
      <c r="I20" s="38"/>
      <c r="J20" s="38"/>
      <c r="K20" s="38"/>
      <c r="L20" s="36"/>
      <c r="M20" s="39"/>
    </row>
    <row r="21" spans="2:13" ht="15.75" thickBot="1">
      <c r="B21" s="36"/>
      <c r="C21" s="36"/>
      <c r="D21" s="41" t="s">
        <v>100</v>
      </c>
      <c r="E21" s="37"/>
      <c r="F21" s="42" t="s">
        <v>94</v>
      </c>
      <c r="G21" s="42" t="s">
        <v>85</v>
      </c>
      <c r="H21" s="42" t="s">
        <v>86</v>
      </c>
      <c r="I21" s="42" t="s">
        <v>87</v>
      </c>
      <c r="J21" s="42" t="s">
        <v>88</v>
      </c>
      <c r="K21" s="42" t="s">
        <v>89</v>
      </c>
      <c r="L21" s="36"/>
      <c r="M21" s="39"/>
    </row>
    <row r="22" spans="2:13">
      <c r="B22" s="36"/>
      <c r="M22" s="39"/>
    </row>
    <row r="23" spans="2:13">
      <c r="B23" s="36"/>
      <c r="D23" s="46" t="s">
        <v>95</v>
      </c>
      <c r="H23" s="47" t="s">
        <v>90</v>
      </c>
      <c r="I23" s="47" t="s">
        <v>91</v>
      </c>
      <c r="M23" s="39"/>
    </row>
    <row r="24" spans="2:13">
      <c r="B24" s="36"/>
      <c r="D24" s="4" t="str">
        <f>D8</f>
        <v>Material flood risk</v>
      </c>
      <c r="E24" s="59" t="str">
        <f>E8</f>
        <v>million €</v>
      </c>
      <c r="F24" s="48" t="s">
        <v>97</v>
      </c>
      <c r="H24" s="60">
        <f t="shared" ref="H24:H30" si="0">MAX(F8:K8)</f>
        <v>117.86809281908999</v>
      </c>
      <c r="I24" s="60">
        <f t="shared" ref="I24:I30" si="1">MIN(F8:K8)</f>
        <v>0</v>
      </c>
      <c r="M24" s="39"/>
    </row>
    <row r="25" spans="2:13">
      <c r="B25" s="36"/>
      <c r="D25" s="4" t="str">
        <f t="shared" ref="D25:E34" si="2">D9</f>
        <v>Investment and operating costs</v>
      </c>
      <c r="E25" s="59" t="str">
        <f t="shared" si="2"/>
        <v>million €</v>
      </c>
      <c r="F25" s="48" t="s">
        <v>97</v>
      </c>
      <c r="H25" s="60">
        <f t="shared" si="0"/>
        <v>136</v>
      </c>
      <c r="I25" s="60">
        <f t="shared" si="1"/>
        <v>0</v>
      </c>
      <c r="M25" s="39"/>
    </row>
    <row r="26" spans="2:13">
      <c r="B26" s="36"/>
      <c r="D26" s="4" t="str">
        <f t="shared" si="2"/>
        <v xml:space="preserve">Loss of agricultural production </v>
      </c>
      <c r="E26" s="59" t="str">
        <f t="shared" si="2"/>
        <v>million €</v>
      </c>
      <c r="F26" s="48" t="s">
        <v>97</v>
      </c>
      <c r="H26" s="60">
        <f t="shared" si="0"/>
        <v>6</v>
      </c>
      <c r="I26" s="60">
        <f t="shared" si="1"/>
        <v>0</v>
      </c>
      <c r="M26" s="39"/>
    </row>
    <row r="27" spans="2:13">
      <c r="B27" s="36"/>
      <c r="D27" s="4" t="str">
        <f t="shared" si="2"/>
        <v>Social flood risk</v>
      </c>
      <c r="E27" s="59" t="str">
        <f t="shared" si="2"/>
        <v>Social Flood Impact (SFI) score</v>
      </c>
      <c r="F27" s="48" t="s">
        <v>97</v>
      </c>
      <c r="H27" s="60">
        <f t="shared" si="0"/>
        <v>675.09225946436254</v>
      </c>
      <c r="I27" s="60">
        <f t="shared" si="1"/>
        <v>0</v>
      </c>
      <c r="J27" s="49"/>
      <c r="K27" s="49"/>
      <c r="M27" s="39"/>
    </row>
    <row r="28" spans="2:13">
      <c r="B28" s="36"/>
      <c r="D28" s="4" t="str">
        <f t="shared" si="2"/>
        <v>Fatalities</v>
      </c>
      <c r="E28" s="59" t="str">
        <f t="shared" si="2"/>
        <v># deaths</v>
      </c>
      <c r="F28" s="48" t="s">
        <v>97</v>
      </c>
      <c r="H28" s="60">
        <f t="shared" si="0"/>
        <v>20</v>
      </c>
      <c r="I28" s="60">
        <f t="shared" si="1"/>
        <v>0</v>
      </c>
      <c r="M28" s="39"/>
    </row>
    <row r="29" spans="2:13">
      <c r="B29" s="36"/>
      <c r="D29" s="4" t="str">
        <f t="shared" si="2"/>
        <v>Social impact of expropriation</v>
      </c>
      <c r="E29" s="59" t="str">
        <f t="shared" si="2"/>
        <v># people relocated</v>
      </c>
      <c r="F29" s="48" t="s">
        <v>97</v>
      </c>
      <c r="H29" s="60">
        <f t="shared" si="0"/>
        <v>265</v>
      </c>
      <c r="I29" s="60">
        <f t="shared" si="1"/>
        <v>0</v>
      </c>
      <c r="M29" s="39"/>
    </row>
    <row r="30" spans="2:13">
      <c r="B30" s="36"/>
      <c r="D30" s="4" t="str">
        <f t="shared" si="2"/>
        <v>Ecological flood  risk</v>
      </c>
      <c r="E30" s="59" t="str">
        <f t="shared" si="2"/>
        <v>Ecological Flood Impact (EFI) score</v>
      </c>
      <c r="F30" s="48" t="s">
        <v>97</v>
      </c>
      <c r="H30" s="60">
        <f t="shared" si="0"/>
        <v>35.969769922150576</v>
      </c>
      <c r="I30" s="60">
        <f t="shared" si="1"/>
        <v>13.181468480788094</v>
      </c>
      <c r="M30" s="39"/>
    </row>
    <row r="31" spans="2:13">
      <c r="B31" s="36"/>
      <c r="D31" s="4" t="str">
        <f t="shared" si="2"/>
        <v>Ecosystem service benefits</v>
      </c>
      <c r="E31" s="59" t="str">
        <f t="shared" si="2"/>
        <v>million €</v>
      </c>
      <c r="F31" s="48" t="s">
        <v>98</v>
      </c>
      <c r="H31" s="60">
        <f>MIN(F15:K15)</f>
        <v>0</v>
      </c>
      <c r="I31" s="60">
        <f>MAX(F15:K15)</f>
        <v>50.591999999999999</v>
      </c>
      <c r="M31" s="39"/>
    </row>
    <row r="32" spans="2:13">
      <c r="B32" s="36"/>
      <c r="D32" s="4" t="str">
        <f t="shared" si="2"/>
        <v>Non-use values</v>
      </c>
      <c r="E32" s="59" t="str">
        <f t="shared" si="2"/>
        <v>million €</v>
      </c>
      <c r="F32" s="48" t="s">
        <v>98</v>
      </c>
      <c r="H32" s="60">
        <f>MIN(F16:K16)</f>
        <v>0</v>
      </c>
      <c r="I32" s="60">
        <f>MAX(F16:K16)</f>
        <v>60</v>
      </c>
      <c r="M32" s="39"/>
    </row>
    <row r="33" spans="2:13">
      <c r="B33" s="36"/>
      <c r="D33" s="4" t="str">
        <f t="shared" si="2"/>
        <v>Flood impact to cultural heritage</v>
      </c>
      <c r="E33" s="59" t="str">
        <f t="shared" si="2"/>
        <v># properties flooded with a cultural value</v>
      </c>
      <c r="F33" s="48" t="s">
        <v>97</v>
      </c>
      <c r="H33" s="60">
        <f>MAX(F17:K17)</f>
        <v>358</v>
      </c>
      <c r="I33" s="60">
        <f>MIN(F17:K17)</f>
        <v>0</v>
      </c>
      <c r="M33" s="39"/>
    </row>
    <row r="34" spans="2:13">
      <c r="B34" s="36"/>
      <c r="D34" s="4" t="str">
        <f t="shared" si="2"/>
        <v>Impact from removing cultural heritage</v>
      </c>
      <c r="E34" s="59" t="str">
        <f t="shared" si="2"/>
        <v># properties demolished with a cultural value</v>
      </c>
      <c r="F34" s="48" t="s">
        <v>97</v>
      </c>
      <c r="H34" s="60">
        <f>MAX(F18:K18)</f>
        <v>32</v>
      </c>
      <c r="I34" s="60">
        <f>MIN(F18:K18)</f>
        <v>0</v>
      </c>
      <c r="M34" s="39"/>
    </row>
    <row r="35" spans="2:13">
      <c r="B35" s="36"/>
      <c r="D35" s="6"/>
      <c r="M35" s="39"/>
    </row>
    <row r="36" spans="2:13">
      <c r="B36" s="36"/>
      <c r="D36" s="46" t="s">
        <v>96</v>
      </c>
      <c r="M36" s="39"/>
    </row>
    <row r="37" spans="2:13">
      <c r="B37" s="36"/>
      <c r="D37" s="4" t="str">
        <f>D24</f>
        <v>Material flood risk</v>
      </c>
      <c r="E37" s="59"/>
      <c r="F37" s="50">
        <f t="shared" ref="F37:K47" si="3">(F8-($H24))/($I24-($H24))</f>
        <v>0</v>
      </c>
      <c r="G37" s="50">
        <f t="shared" si="3"/>
        <v>0.79999999999999993</v>
      </c>
      <c r="H37" s="50">
        <f t="shared" si="3"/>
        <v>1</v>
      </c>
      <c r="I37" s="50">
        <f t="shared" si="3"/>
        <v>0.79999999999999993</v>
      </c>
      <c r="J37" s="50">
        <f t="shared" si="3"/>
        <v>0.6</v>
      </c>
      <c r="K37" s="50">
        <f t="shared" si="3"/>
        <v>0.39999999999999741</v>
      </c>
      <c r="M37" s="39"/>
    </row>
    <row r="38" spans="2:13">
      <c r="B38" s="36"/>
      <c r="D38" s="4" t="str">
        <f t="shared" ref="D38:D47" si="4">D25</f>
        <v>Investment and operating costs</v>
      </c>
      <c r="E38" s="59"/>
      <c r="F38" s="50">
        <f t="shared" si="3"/>
        <v>1</v>
      </c>
      <c r="G38" s="50">
        <f t="shared" si="3"/>
        <v>0</v>
      </c>
      <c r="H38" s="50">
        <f t="shared" si="3"/>
        <v>0.55882352941176472</v>
      </c>
      <c r="I38" s="50">
        <f t="shared" si="3"/>
        <v>0.61397058823529416</v>
      </c>
      <c r="J38" s="50">
        <f t="shared" si="3"/>
        <v>0.48529411764705882</v>
      </c>
      <c r="K38" s="50">
        <f t="shared" si="3"/>
        <v>0.79779411764705888</v>
      </c>
      <c r="M38" s="39"/>
    </row>
    <row r="39" spans="2:13">
      <c r="B39" s="36"/>
      <c r="D39" s="4" t="str">
        <f t="shared" si="4"/>
        <v xml:space="preserve">Loss of agricultural production </v>
      </c>
      <c r="E39" s="59"/>
      <c r="F39" s="50">
        <f t="shared" si="3"/>
        <v>1</v>
      </c>
      <c r="G39" s="50">
        <f t="shared" si="3"/>
        <v>1</v>
      </c>
      <c r="H39" s="50">
        <f t="shared" si="3"/>
        <v>1</v>
      </c>
      <c r="I39" s="50">
        <f t="shared" si="3"/>
        <v>0.25</v>
      </c>
      <c r="J39" s="50">
        <f t="shared" si="3"/>
        <v>0</v>
      </c>
      <c r="K39" s="50">
        <f t="shared" si="3"/>
        <v>1</v>
      </c>
      <c r="M39" s="39"/>
    </row>
    <row r="40" spans="2:13">
      <c r="B40" s="36"/>
      <c r="D40" s="4" t="str">
        <f t="shared" si="4"/>
        <v>Social flood risk</v>
      </c>
      <c r="E40" s="59"/>
      <c r="F40" s="50">
        <f t="shared" si="3"/>
        <v>0</v>
      </c>
      <c r="G40" s="50">
        <f t="shared" si="3"/>
        <v>0.79706477436328527</v>
      </c>
      <c r="H40" s="50">
        <f t="shared" si="3"/>
        <v>1</v>
      </c>
      <c r="I40" s="50">
        <f t="shared" si="3"/>
        <v>0.75855151986288682</v>
      </c>
      <c r="J40" s="50">
        <f t="shared" si="3"/>
        <v>0.73485105555494934</v>
      </c>
      <c r="K40" s="50">
        <f t="shared" si="3"/>
        <v>0.5</v>
      </c>
      <c r="M40" s="39"/>
    </row>
    <row r="41" spans="2:13">
      <c r="B41" s="36"/>
      <c r="D41" s="4" t="str">
        <f t="shared" si="4"/>
        <v>Fatalities</v>
      </c>
      <c r="E41" s="59"/>
      <c r="F41" s="50">
        <f t="shared" si="3"/>
        <v>0</v>
      </c>
      <c r="G41" s="50">
        <f t="shared" si="3"/>
        <v>0.75</v>
      </c>
      <c r="H41" s="50">
        <f t="shared" si="3"/>
        <v>1</v>
      </c>
      <c r="I41" s="50">
        <f t="shared" si="3"/>
        <v>0.5</v>
      </c>
      <c r="J41" s="50">
        <f t="shared" si="3"/>
        <v>0.75</v>
      </c>
      <c r="K41" s="50">
        <f t="shared" si="3"/>
        <v>0.5</v>
      </c>
      <c r="M41" s="39"/>
    </row>
    <row r="42" spans="2:13">
      <c r="B42" s="36"/>
      <c r="D42" s="4" t="str">
        <f t="shared" si="4"/>
        <v>Social impact of expropriation</v>
      </c>
      <c r="E42" s="59"/>
      <c r="F42" s="50">
        <f t="shared" si="3"/>
        <v>1</v>
      </c>
      <c r="G42" s="50">
        <f t="shared" si="3"/>
        <v>0</v>
      </c>
      <c r="H42" s="50">
        <f t="shared" si="3"/>
        <v>1</v>
      </c>
      <c r="I42" s="50">
        <f t="shared" si="3"/>
        <v>1</v>
      </c>
      <c r="J42" s="50">
        <f t="shared" si="3"/>
        <v>1</v>
      </c>
      <c r="K42" s="50">
        <f t="shared" si="3"/>
        <v>0.94339622641509435</v>
      </c>
      <c r="M42" s="39"/>
    </row>
    <row r="43" spans="2:13">
      <c r="B43" s="36"/>
      <c r="D43" s="4" t="str">
        <f t="shared" si="4"/>
        <v>Ecological flood  risk</v>
      </c>
      <c r="E43" s="59"/>
      <c r="F43" s="50">
        <f t="shared" si="3"/>
        <v>1</v>
      </c>
      <c r="G43" s="50">
        <f t="shared" si="3"/>
        <v>1</v>
      </c>
      <c r="H43" s="50">
        <f t="shared" si="3"/>
        <v>0</v>
      </c>
      <c r="I43" s="50">
        <f t="shared" si="3"/>
        <v>0.58823529411764675</v>
      </c>
      <c r="J43" s="50">
        <f t="shared" si="3"/>
        <v>0.84313725490196079</v>
      </c>
      <c r="K43" s="50">
        <f t="shared" si="3"/>
        <v>1</v>
      </c>
      <c r="M43" s="39"/>
    </row>
    <row r="44" spans="2:13">
      <c r="B44" s="36"/>
      <c r="D44" s="4" t="str">
        <f t="shared" si="4"/>
        <v>Ecosystem service benefits</v>
      </c>
      <c r="E44" s="59"/>
      <c r="F44" s="50">
        <f t="shared" si="3"/>
        <v>0</v>
      </c>
      <c r="G44" s="50">
        <f t="shared" si="3"/>
        <v>0</v>
      </c>
      <c r="H44" s="50">
        <f t="shared" si="3"/>
        <v>0</v>
      </c>
      <c r="I44" s="50">
        <f t="shared" si="3"/>
        <v>0.5</v>
      </c>
      <c r="J44" s="50">
        <f t="shared" si="3"/>
        <v>1</v>
      </c>
      <c r="K44" s="50">
        <f t="shared" si="3"/>
        <v>0</v>
      </c>
      <c r="M44" s="39"/>
    </row>
    <row r="45" spans="2:13">
      <c r="B45" s="36"/>
      <c r="D45" s="4" t="str">
        <f t="shared" si="4"/>
        <v>Non-use values</v>
      </c>
      <c r="E45" s="59"/>
      <c r="F45" s="50">
        <f t="shared" si="3"/>
        <v>0</v>
      </c>
      <c r="G45" s="50">
        <f t="shared" si="3"/>
        <v>0</v>
      </c>
      <c r="H45" s="50">
        <f t="shared" si="3"/>
        <v>0</v>
      </c>
      <c r="I45" s="50">
        <f t="shared" si="3"/>
        <v>0.5</v>
      </c>
      <c r="J45" s="50">
        <f t="shared" si="3"/>
        <v>1</v>
      </c>
      <c r="K45" s="50">
        <f t="shared" si="3"/>
        <v>0</v>
      </c>
      <c r="M45" s="39"/>
    </row>
    <row r="46" spans="2:13">
      <c r="B46" s="36"/>
      <c r="D46" s="4" t="str">
        <f t="shared" si="4"/>
        <v>Flood impact to cultural heritage</v>
      </c>
      <c r="E46" s="59"/>
      <c r="F46" s="50">
        <f t="shared" si="3"/>
        <v>0</v>
      </c>
      <c r="G46" s="50">
        <f t="shared" si="3"/>
        <v>0.75139664804469275</v>
      </c>
      <c r="H46" s="50">
        <f t="shared" si="3"/>
        <v>1</v>
      </c>
      <c r="I46" s="50">
        <f t="shared" si="3"/>
        <v>0.56145251396648044</v>
      </c>
      <c r="J46" s="50">
        <f t="shared" si="3"/>
        <v>0.5027932960893855</v>
      </c>
      <c r="K46" s="50">
        <f t="shared" si="3"/>
        <v>0.10893854748603352</v>
      </c>
      <c r="M46" s="39"/>
    </row>
    <row r="47" spans="2:13">
      <c r="B47" s="36"/>
      <c r="D47" s="4" t="str">
        <f t="shared" si="4"/>
        <v>Impact from removing cultural heritage</v>
      </c>
      <c r="E47" s="59"/>
      <c r="F47" s="50">
        <f t="shared" si="3"/>
        <v>1</v>
      </c>
      <c r="G47" s="50">
        <f t="shared" si="3"/>
        <v>0</v>
      </c>
      <c r="H47" s="50">
        <f t="shared" si="3"/>
        <v>1</v>
      </c>
      <c r="I47" s="50">
        <f t="shared" si="3"/>
        <v>1</v>
      </c>
      <c r="J47" s="50">
        <f t="shared" si="3"/>
        <v>1</v>
      </c>
      <c r="K47" s="50">
        <f t="shared" si="3"/>
        <v>1</v>
      </c>
      <c r="M47" s="39"/>
    </row>
    <row r="48" spans="2:13">
      <c r="B48" s="36"/>
      <c r="M48" s="39"/>
    </row>
    <row r="49" spans="2:13">
      <c r="B49" s="36"/>
      <c r="C49" s="36"/>
      <c r="D49" s="36"/>
      <c r="E49" s="37"/>
      <c r="F49" s="37"/>
      <c r="G49" s="38"/>
      <c r="H49" s="38"/>
      <c r="I49" s="38"/>
      <c r="J49" s="38"/>
      <c r="K49" s="38"/>
      <c r="L49" s="36"/>
      <c r="M49" s="39"/>
    </row>
    <row r="50" spans="2:13" ht="15.75" thickBot="1">
      <c r="B50" s="36"/>
      <c r="C50" s="36"/>
      <c r="D50" s="41" t="s">
        <v>101</v>
      </c>
      <c r="E50" s="37"/>
      <c r="F50" s="37"/>
      <c r="G50" s="38"/>
      <c r="H50" s="38"/>
      <c r="I50" s="38"/>
      <c r="J50" s="38"/>
      <c r="K50" s="38"/>
      <c r="L50" s="36"/>
      <c r="M50" s="39"/>
    </row>
    <row r="51" spans="2:13">
      <c r="B51" s="52"/>
      <c r="M51" s="39"/>
    </row>
    <row r="52" spans="2:13">
      <c r="B52" s="52"/>
      <c r="D52" t="str">
        <f>D8</f>
        <v>Material flood risk</v>
      </c>
      <c r="E52" s="53"/>
      <c r="F52" s="53"/>
      <c r="G52" s="62">
        <f>ABS(I24-H24)/(ABS(I$24-H$24)+ABS(I$25-H$25)+ABS(I$26-H$26))*(1-G$55-G$56-G$57-G$58-G$59-G$60-G$61-G$62)</f>
        <v>0.10885654321661885</v>
      </c>
      <c r="I52" s="68"/>
      <c r="J52" s="61"/>
      <c r="K52" s="61"/>
      <c r="M52" s="39"/>
    </row>
    <row r="53" spans="2:13">
      <c r="B53" s="52"/>
      <c r="D53" t="str">
        <f t="shared" ref="D53:D62" si="5">D9</f>
        <v>Investment and operating costs</v>
      </c>
      <c r="E53" s="53"/>
      <c r="F53" s="53"/>
      <c r="G53" s="62">
        <f t="shared" ref="G53:G54" si="6">ABS(I25-H25)/(ABS(I$24-H$24)+ABS(I$25-H$25)+ABS(I$26-H$26))*(1-G$55-G$56-G$57-G$58-G$59-G$60-G$61-G$62)</f>
        <v>0.12560218396154807</v>
      </c>
      <c r="I53" s="68"/>
      <c r="J53" s="51"/>
      <c r="K53" s="51"/>
      <c r="M53" s="39"/>
    </row>
    <row r="54" spans="2:13">
      <c r="B54" s="52"/>
      <c r="D54" t="str">
        <f t="shared" si="5"/>
        <v xml:space="preserve">Loss of agricultural production </v>
      </c>
      <c r="E54" s="53"/>
      <c r="F54" s="53"/>
      <c r="G54" s="62">
        <f t="shared" si="6"/>
        <v>5.5412728218330026E-3</v>
      </c>
      <c r="H54" s="54"/>
      <c r="I54" s="68"/>
      <c r="J54" s="61"/>
      <c r="K54" s="61"/>
      <c r="M54" s="39"/>
    </row>
    <row r="55" spans="2:13">
      <c r="B55" s="52"/>
      <c r="D55" t="str">
        <f t="shared" si="5"/>
        <v>Social flood risk</v>
      </c>
      <c r="E55" s="53"/>
      <c r="F55" s="53"/>
      <c r="G55" s="63">
        <v>0.05</v>
      </c>
      <c r="I55" s="68"/>
      <c r="M55" s="39"/>
    </row>
    <row r="56" spans="2:13">
      <c r="B56" s="52"/>
      <c r="D56" t="str">
        <f t="shared" si="5"/>
        <v>Fatalities</v>
      </c>
      <c r="E56" s="53"/>
      <c r="F56" s="53"/>
      <c r="G56" s="63">
        <v>0.05</v>
      </c>
      <c r="I56" s="68"/>
      <c r="M56" s="39"/>
    </row>
    <row r="57" spans="2:13">
      <c r="B57" s="52"/>
      <c r="D57" t="str">
        <f t="shared" si="5"/>
        <v>Social impact of expropriation</v>
      </c>
      <c r="E57" s="53"/>
      <c r="F57" s="53"/>
      <c r="G57" s="63">
        <v>0.02</v>
      </c>
      <c r="I57" s="68"/>
      <c r="M57" s="39"/>
    </row>
    <row r="58" spans="2:13">
      <c r="B58" s="52"/>
      <c r="D58" t="str">
        <f t="shared" si="5"/>
        <v>Ecological flood  risk</v>
      </c>
      <c r="E58" s="53"/>
      <c r="F58" s="53"/>
      <c r="G58" s="63">
        <v>0.2</v>
      </c>
      <c r="I58" s="68"/>
      <c r="M58" s="39"/>
    </row>
    <row r="59" spans="2:13">
      <c r="B59" s="52"/>
      <c r="D59" t="str">
        <f t="shared" si="5"/>
        <v>Ecosystem service benefits</v>
      </c>
      <c r="E59" s="53"/>
      <c r="F59" s="53"/>
      <c r="G59" s="63">
        <v>0.2</v>
      </c>
      <c r="I59" s="68"/>
      <c r="M59" s="39"/>
    </row>
    <row r="60" spans="2:13">
      <c r="B60" s="52"/>
      <c r="D60" t="str">
        <f t="shared" si="5"/>
        <v>Non-use values</v>
      </c>
      <c r="E60" s="53"/>
      <c r="F60" s="53"/>
      <c r="G60" s="63">
        <v>0.2</v>
      </c>
      <c r="I60" s="68"/>
      <c r="M60" s="39"/>
    </row>
    <row r="61" spans="2:13">
      <c r="B61" s="52"/>
      <c r="D61" t="str">
        <f t="shared" si="5"/>
        <v>Flood impact to cultural heritage</v>
      </c>
      <c r="E61" s="53"/>
      <c r="F61" s="53"/>
      <c r="G61" s="63">
        <v>0.02</v>
      </c>
      <c r="I61" s="68"/>
      <c r="M61" s="39"/>
    </row>
    <row r="62" spans="2:13">
      <c r="B62" s="52"/>
      <c r="D62" t="str">
        <f t="shared" si="5"/>
        <v>Impact from removing cultural heritage</v>
      </c>
      <c r="E62" s="53"/>
      <c r="F62" s="53"/>
      <c r="G62" s="63">
        <v>0.02</v>
      </c>
      <c r="I62" s="68"/>
      <c r="M62" s="39"/>
    </row>
    <row r="63" spans="2:13">
      <c r="B63" s="52"/>
      <c r="D63" s="55"/>
      <c r="M63" s="39"/>
    </row>
    <row r="64" spans="2:13">
      <c r="B64" s="52"/>
      <c r="D64" s="56" t="s">
        <v>92</v>
      </c>
      <c r="E64" s="57"/>
      <c r="F64" s="57"/>
      <c r="G64" s="57">
        <f>SUM(G52:G63)</f>
        <v>1</v>
      </c>
      <c r="M64" s="39"/>
    </row>
    <row r="65" spans="2:13">
      <c r="B65" s="52"/>
      <c r="D65" s="55"/>
      <c r="M65" s="39"/>
    </row>
    <row r="66" spans="2:13">
      <c r="B66" s="52"/>
      <c r="C66" s="36"/>
      <c r="D66" s="36"/>
      <c r="E66" s="37"/>
      <c r="F66" s="37"/>
      <c r="G66" s="38"/>
      <c r="H66" s="38"/>
      <c r="I66" s="38"/>
      <c r="J66" s="38"/>
      <c r="K66" s="38"/>
      <c r="L66" s="36"/>
      <c r="M66" s="39"/>
    </row>
    <row r="67" spans="2:13" ht="15.75" thickBot="1">
      <c r="B67" s="36"/>
      <c r="C67" s="36"/>
      <c r="D67" s="41" t="s">
        <v>53</v>
      </c>
      <c r="E67" s="37"/>
      <c r="F67" s="42" t="s">
        <v>94</v>
      </c>
      <c r="G67" s="42" t="s">
        <v>85</v>
      </c>
      <c r="H67" s="42" t="s">
        <v>86</v>
      </c>
      <c r="I67" s="42" t="s">
        <v>87</v>
      </c>
      <c r="J67" s="42" t="s">
        <v>88</v>
      </c>
      <c r="K67" s="42" t="s">
        <v>89</v>
      </c>
      <c r="L67" s="36"/>
      <c r="M67" s="39"/>
    </row>
    <row r="68" spans="2:13">
      <c r="B68" s="36"/>
      <c r="M68" s="39"/>
    </row>
    <row r="69" spans="2:13">
      <c r="B69" s="36"/>
      <c r="D69" t="str">
        <f>D8</f>
        <v>Material flood risk</v>
      </c>
      <c r="E69" s="53"/>
      <c r="F69" s="58">
        <f>F37*$G52</f>
        <v>0</v>
      </c>
      <c r="G69" s="58">
        <f t="shared" ref="G69:K69" si="7">G37*$G52</f>
        <v>8.7085234573295076E-2</v>
      </c>
      <c r="H69" s="58">
        <f t="shared" si="7"/>
        <v>0.10885654321661885</v>
      </c>
      <c r="I69" s="58">
        <f t="shared" si="7"/>
        <v>8.7085234573295076E-2</v>
      </c>
      <c r="J69" s="58">
        <f t="shared" si="7"/>
        <v>6.5313925929971303E-2</v>
      </c>
      <c r="K69" s="58">
        <f t="shared" si="7"/>
        <v>4.354261728664726E-2</v>
      </c>
      <c r="M69" s="39"/>
    </row>
    <row r="70" spans="2:13">
      <c r="B70" s="36"/>
      <c r="D70" t="str">
        <f t="shared" ref="D70:D79" si="8">D9</f>
        <v>Investment and operating costs</v>
      </c>
      <c r="E70" s="53"/>
      <c r="F70" s="58">
        <f t="shared" ref="F70:K79" si="9">F38*$G53</f>
        <v>0.12560218396154807</v>
      </c>
      <c r="G70" s="58">
        <f t="shared" si="9"/>
        <v>0</v>
      </c>
      <c r="H70" s="58">
        <f t="shared" si="9"/>
        <v>7.018945574321804E-2</v>
      </c>
      <c r="I70" s="58">
        <f t="shared" si="9"/>
        <v>7.7116046770509303E-2</v>
      </c>
      <c r="J70" s="58">
        <f t="shared" si="9"/>
        <v>6.0954001040163033E-2</v>
      </c>
      <c r="K70" s="58">
        <f t="shared" si="9"/>
        <v>0.10020468352814681</v>
      </c>
      <c r="M70" s="39"/>
    </row>
    <row r="71" spans="2:13">
      <c r="B71" s="36"/>
      <c r="D71" t="str">
        <f t="shared" si="8"/>
        <v xml:space="preserve">Loss of agricultural production </v>
      </c>
      <c r="E71" s="53"/>
      <c r="F71" s="58">
        <f t="shared" si="9"/>
        <v>5.5412728218330026E-3</v>
      </c>
      <c r="G71" s="58">
        <f t="shared" si="9"/>
        <v>5.5412728218330026E-3</v>
      </c>
      <c r="H71" s="58">
        <f t="shared" si="9"/>
        <v>5.5412728218330026E-3</v>
      </c>
      <c r="I71" s="58">
        <f t="shared" si="9"/>
        <v>1.3853182054582506E-3</v>
      </c>
      <c r="J71" s="58">
        <f t="shared" si="9"/>
        <v>0</v>
      </c>
      <c r="K71" s="58">
        <f t="shared" si="9"/>
        <v>5.5412728218330026E-3</v>
      </c>
      <c r="M71" s="39"/>
    </row>
    <row r="72" spans="2:13">
      <c r="B72" s="36"/>
      <c r="D72" t="str">
        <f t="shared" si="8"/>
        <v>Social flood risk</v>
      </c>
      <c r="E72" s="53"/>
      <c r="F72" s="58">
        <f t="shared" si="9"/>
        <v>0</v>
      </c>
      <c r="G72" s="58">
        <f t="shared" si="9"/>
        <v>3.9853238718164263E-2</v>
      </c>
      <c r="H72" s="58">
        <f t="shared" si="9"/>
        <v>0.05</v>
      </c>
      <c r="I72" s="58">
        <f t="shared" si="9"/>
        <v>3.7927575993144343E-2</v>
      </c>
      <c r="J72" s="58">
        <f t="shared" si="9"/>
        <v>3.6742552777747468E-2</v>
      </c>
      <c r="K72" s="58">
        <f t="shared" si="9"/>
        <v>2.5000000000000001E-2</v>
      </c>
      <c r="M72" s="39"/>
    </row>
    <row r="73" spans="2:13">
      <c r="B73" s="36"/>
      <c r="D73" t="str">
        <f t="shared" si="8"/>
        <v>Fatalities</v>
      </c>
      <c r="E73" s="53"/>
      <c r="F73" s="58">
        <f t="shared" si="9"/>
        <v>0</v>
      </c>
      <c r="G73" s="58">
        <f t="shared" si="9"/>
        <v>3.7500000000000006E-2</v>
      </c>
      <c r="H73" s="58">
        <f t="shared" si="9"/>
        <v>0.05</v>
      </c>
      <c r="I73" s="58">
        <f t="shared" si="9"/>
        <v>2.5000000000000001E-2</v>
      </c>
      <c r="J73" s="58">
        <f t="shared" si="9"/>
        <v>3.7500000000000006E-2</v>
      </c>
      <c r="K73" s="58">
        <f t="shared" si="9"/>
        <v>2.5000000000000001E-2</v>
      </c>
      <c r="M73" s="39"/>
    </row>
    <row r="74" spans="2:13">
      <c r="B74" s="36"/>
      <c r="D74" t="str">
        <f t="shared" si="8"/>
        <v>Social impact of expropriation</v>
      </c>
      <c r="E74" s="53"/>
      <c r="F74" s="58">
        <f t="shared" si="9"/>
        <v>0.02</v>
      </c>
      <c r="G74" s="58">
        <f t="shared" si="9"/>
        <v>0</v>
      </c>
      <c r="H74" s="58">
        <f t="shared" si="9"/>
        <v>0.02</v>
      </c>
      <c r="I74" s="58">
        <f t="shared" si="9"/>
        <v>0.02</v>
      </c>
      <c r="J74" s="58">
        <f t="shared" si="9"/>
        <v>0.02</v>
      </c>
      <c r="K74" s="58">
        <f t="shared" si="9"/>
        <v>1.8867924528301886E-2</v>
      </c>
      <c r="M74" s="39"/>
    </row>
    <row r="75" spans="2:13">
      <c r="B75" s="36"/>
      <c r="D75" t="str">
        <f t="shared" si="8"/>
        <v>Ecological flood  risk</v>
      </c>
      <c r="E75" s="53"/>
      <c r="F75" s="58">
        <f t="shared" si="9"/>
        <v>0.2</v>
      </c>
      <c r="G75" s="58">
        <f t="shared" si="9"/>
        <v>0.2</v>
      </c>
      <c r="H75" s="58">
        <f t="shared" si="9"/>
        <v>0</v>
      </c>
      <c r="I75" s="58">
        <f t="shared" si="9"/>
        <v>0.11764705882352935</v>
      </c>
      <c r="J75" s="58">
        <f t="shared" si="9"/>
        <v>0.16862745098039217</v>
      </c>
      <c r="K75" s="58">
        <f t="shared" si="9"/>
        <v>0.2</v>
      </c>
      <c r="M75" s="39"/>
    </row>
    <row r="76" spans="2:13">
      <c r="B76" s="36"/>
      <c r="D76" t="str">
        <f t="shared" si="8"/>
        <v>Ecosystem service benefits</v>
      </c>
      <c r="E76" s="53"/>
      <c r="F76" s="58">
        <f t="shared" si="9"/>
        <v>0</v>
      </c>
      <c r="G76" s="58">
        <f t="shared" si="9"/>
        <v>0</v>
      </c>
      <c r="H76" s="58">
        <f t="shared" si="9"/>
        <v>0</v>
      </c>
      <c r="I76" s="58">
        <f t="shared" si="9"/>
        <v>0.1</v>
      </c>
      <c r="J76" s="58">
        <f t="shared" si="9"/>
        <v>0.2</v>
      </c>
      <c r="K76" s="58">
        <f t="shared" si="9"/>
        <v>0</v>
      </c>
      <c r="M76" s="39"/>
    </row>
    <row r="77" spans="2:13">
      <c r="B77" s="36"/>
      <c r="D77" t="str">
        <f t="shared" si="8"/>
        <v>Non-use values</v>
      </c>
      <c r="E77" s="53"/>
      <c r="F77" s="58">
        <f t="shared" si="9"/>
        <v>0</v>
      </c>
      <c r="G77" s="58">
        <f t="shared" si="9"/>
        <v>0</v>
      </c>
      <c r="H77" s="58">
        <f t="shared" si="9"/>
        <v>0</v>
      </c>
      <c r="I77" s="58">
        <f t="shared" si="9"/>
        <v>0.1</v>
      </c>
      <c r="J77" s="58">
        <f t="shared" si="9"/>
        <v>0.2</v>
      </c>
      <c r="K77" s="58">
        <f t="shared" si="9"/>
        <v>0</v>
      </c>
      <c r="M77" s="39"/>
    </row>
    <row r="78" spans="2:13">
      <c r="B78" s="36"/>
      <c r="D78" t="str">
        <f t="shared" si="8"/>
        <v>Flood impact to cultural heritage</v>
      </c>
      <c r="E78" s="53"/>
      <c r="F78" s="58">
        <f t="shared" si="9"/>
        <v>0</v>
      </c>
      <c r="G78" s="58">
        <f t="shared" si="9"/>
        <v>1.5027932960893855E-2</v>
      </c>
      <c r="H78" s="58">
        <f t="shared" si="9"/>
        <v>0.02</v>
      </c>
      <c r="I78" s="58">
        <f t="shared" si="9"/>
        <v>1.1229050279329609E-2</v>
      </c>
      <c r="J78" s="58">
        <f t="shared" si="9"/>
        <v>1.0055865921787711E-2</v>
      </c>
      <c r="K78" s="58">
        <f t="shared" si="9"/>
        <v>2.1787709497206702E-3</v>
      </c>
      <c r="M78" s="39"/>
    </row>
    <row r="79" spans="2:13">
      <c r="B79" s="36"/>
      <c r="D79" t="str">
        <f t="shared" si="8"/>
        <v>Impact from removing cultural heritage</v>
      </c>
      <c r="E79" s="53"/>
      <c r="F79" s="58">
        <f t="shared" si="9"/>
        <v>0.02</v>
      </c>
      <c r="G79" s="58">
        <f t="shared" si="9"/>
        <v>0</v>
      </c>
      <c r="H79" s="58">
        <f t="shared" si="9"/>
        <v>0.02</v>
      </c>
      <c r="I79" s="58">
        <f t="shared" si="9"/>
        <v>0.02</v>
      </c>
      <c r="J79" s="58">
        <f t="shared" si="9"/>
        <v>0.02</v>
      </c>
      <c r="K79" s="58">
        <f t="shared" si="9"/>
        <v>0.02</v>
      </c>
      <c r="M79" s="39"/>
    </row>
    <row r="80" spans="2:13">
      <c r="B80" s="36"/>
      <c r="M80" s="39"/>
    </row>
    <row r="81" spans="2:15">
      <c r="B81" s="36"/>
      <c r="D81" s="64" t="s">
        <v>93</v>
      </c>
      <c r="F81" s="65">
        <f>SUM(F69:F79)</f>
        <v>0.37114345678338112</v>
      </c>
      <c r="G81" s="65">
        <f t="shared" ref="G81:K81" si="10">SUM(G69:G79)</f>
        <v>0.38500767907418615</v>
      </c>
      <c r="H81" s="65">
        <f t="shared" si="10"/>
        <v>0.34458727178166992</v>
      </c>
      <c r="I81" s="65">
        <f t="shared" si="10"/>
        <v>0.59739028464526589</v>
      </c>
      <c r="J81" s="65">
        <f t="shared" si="10"/>
        <v>0.81919379665006176</v>
      </c>
      <c r="K81" s="65">
        <f t="shared" si="10"/>
        <v>0.44033526911464965</v>
      </c>
      <c r="M81" s="39"/>
    </row>
    <row r="82" spans="2:15">
      <c r="B82" s="36"/>
      <c r="D82" s="64" t="s">
        <v>102</v>
      </c>
      <c r="F82" s="66">
        <f>RANK(F81,$F81:$K81)</f>
        <v>5</v>
      </c>
      <c r="G82" s="66">
        <f t="shared" ref="G82:K82" si="11">RANK(G81,$F81:$K81)</f>
        <v>4</v>
      </c>
      <c r="H82" s="66">
        <f t="shared" si="11"/>
        <v>6</v>
      </c>
      <c r="I82" s="66">
        <f t="shared" si="11"/>
        <v>2</v>
      </c>
      <c r="J82" s="66">
        <f t="shared" si="11"/>
        <v>1</v>
      </c>
      <c r="K82" s="66">
        <f t="shared" si="11"/>
        <v>3</v>
      </c>
      <c r="M82" s="39"/>
    </row>
    <row r="83" spans="2:15">
      <c r="B83" s="36"/>
      <c r="M83" s="39"/>
    </row>
    <row r="84" spans="2:15">
      <c r="B84" s="36"/>
      <c r="M84" s="39"/>
    </row>
    <row r="85" spans="2:15">
      <c r="B85" s="36"/>
      <c r="M85" s="39"/>
    </row>
    <row r="86" spans="2:15">
      <c r="B86" s="36"/>
      <c r="M86" s="39"/>
    </row>
    <row r="87" spans="2:15">
      <c r="B87" s="36"/>
      <c r="M87" s="39"/>
    </row>
    <row r="88" spans="2:15">
      <c r="B88" s="36"/>
      <c r="M88" s="39"/>
    </row>
    <row r="89" spans="2:15">
      <c r="B89" s="36"/>
      <c r="M89" s="39"/>
      <c r="O89" s="40"/>
    </row>
    <row r="90" spans="2:15">
      <c r="B90" s="36"/>
      <c r="M90" s="39"/>
    </row>
    <row r="91" spans="2:15">
      <c r="B91" s="36"/>
      <c r="M91" s="39"/>
    </row>
    <row r="92" spans="2:15">
      <c r="B92" s="36"/>
      <c r="M92" s="39"/>
    </row>
    <row r="93" spans="2:15">
      <c r="B93" s="36"/>
      <c r="M93" s="39"/>
    </row>
    <row r="94" spans="2:15">
      <c r="B94" s="36"/>
      <c r="M94" s="39"/>
    </row>
    <row r="95" spans="2:15">
      <c r="B95" s="36"/>
      <c r="M95" s="39"/>
    </row>
    <row r="96" spans="2:15">
      <c r="B96" s="36"/>
      <c r="M96" s="39"/>
    </row>
    <row r="97" spans="2:13">
      <c r="B97" s="36"/>
      <c r="M97" s="39"/>
    </row>
    <row r="98" spans="2:13">
      <c r="B98" s="36"/>
      <c r="M98" s="39"/>
    </row>
    <row r="99" spans="2:13">
      <c r="B99" s="36"/>
      <c r="M99" s="39"/>
    </row>
    <row r="100" spans="2:13">
      <c r="B100" s="36"/>
      <c r="M100" s="39"/>
    </row>
    <row r="101" spans="2:13">
      <c r="B101" s="36"/>
      <c r="M101" s="39"/>
    </row>
    <row r="102" spans="2:13">
      <c r="B102" s="36"/>
      <c r="M102" s="39"/>
    </row>
    <row r="103" spans="2:13">
      <c r="B103" s="36"/>
      <c r="M103" s="39"/>
    </row>
    <row r="104" spans="2:13">
      <c r="B104" s="36"/>
      <c r="M104" s="39"/>
    </row>
    <row r="105" spans="2:13">
      <c r="B105" s="36"/>
      <c r="M105" s="39"/>
    </row>
    <row r="106" spans="2:13">
      <c r="B106" s="36"/>
      <c r="M106" s="39"/>
    </row>
    <row r="107" spans="2:13">
      <c r="B107" s="36"/>
      <c r="M107" s="39"/>
    </row>
    <row r="108" spans="2:13">
      <c r="B108" s="36"/>
      <c r="M108" s="39"/>
    </row>
    <row r="109" spans="2:13">
      <c r="B109" s="36"/>
      <c r="M109" s="39"/>
    </row>
    <row r="110" spans="2:13">
      <c r="B110" s="36"/>
      <c r="M110" s="39"/>
    </row>
    <row r="111" spans="2:13">
      <c r="B111" s="36"/>
      <c r="M111" s="39"/>
    </row>
    <row r="112" spans="2:13">
      <c r="B112" s="36"/>
      <c r="M112" s="39"/>
    </row>
    <row r="113" spans="2:13">
      <c r="B113" s="36"/>
      <c r="M113" s="39"/>
    </row>
    <row r="114" spans="2:13">
      <c r="B114" s="36"/>
      <c r="M114" s="39"/>
    </row>
    <row r="115" spans="2:13">
      <c r="B115" s="36"/>
      <c r="M115" s="39"/>
    </row>
    <row r="116" spans="2:13">
      <c r="B116" s="36"/>
      <c r="M116" s="39"/>
    </row>
    <row r="117" spans="2:13">
      <c r="B117" s="36"/>
      <c r="C117" s="36"/>
      <c r="D117" s="36"/>
      <c r="E117" s="37"/>
      <c r="F117" s="37"/>
      <c r="G117" s="38"/>
      <c r="H117" s="38"/>
      <c r="I117" s="38"/>
      <c r="J117" s="38"/>
      <c r="K117" s="38"/>
      <c r="L117" s="36"/>
      <c r="M117" s="3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5:Q117"/>
  <sheetViews>
    <sheetView topLeftCell="A67" zoomScale="80" zoomScaleNormal="80" workbookViewId="0">
      <selection activeCell="F18" sqref="F18"/>
    </sheetView>
  </sheetViews>
  <sheetFormatPr defaultRowHeight="15"/>
  <cols>
    <col min="1" max="1" width="8.7109375" customWidth="1"/>
    <col min="2" max="2" width="2.42578125" customWidth="1"/>
    <col min="4" max="4" width="40.7109375" bestFit="1" customWidth="1"/>
    <col min="5" max="5" width="42.140625" style="45" bestFit="1" customWidth="1"/>
    <col min="6" max="6" width="13.7109375" style="45" customWidth="1"/>
    <col min="7" max="11" width="13.7109375" style="43" customWidth="1"/>
    <col min="13" max="13" width="2.42578125" style="40" customWidth="1"/>
    <col min="14" max="14" width="9.28515625" style="40" customWidth="1"/>
  </cols>
  <sheetData>
    <row r="5" spans="2:17">
      <c r="B5" s="36"/>
      <c r="C5" s="36"/>
      <c r="D5" s="36"/>
      <c r="E5" s="37"/>
      <c r="F5" s="37"/>
      <c r="G5" s="38"/>
      <c r="H5" s="38"/>
      <c r="I5" s="38"/>
      <c r="J5" s="38"/>
      <c r="K5" s="38"/>
      <c r="L5" s="36"/>
      <c r="M5" s="39"/>
    </row>
    <row r="6" spans="2:17" ht="15.75" thickBot="1">
      <c r="B6" s="36"/>
      <c r="C6" s="36"/>
      <c r="D6" s="41" t="s">
        <v>99</v>
      </c>
      <c r="E6" s="37"/>
      <c r="F6" s="42" t="s">
        <v>94</v>
      </c>
      <c r="G6" s="42" t="s">
        <v>85</v>
      </c>
      <c r="H6" s="42" t="s">
        <v>86</v>
      </c>
      <c r="I6" s="42" t="s">
        <v>87</v>
      </c>
      <c r="J6" s="42" t="s">
        <v>88</v>
      </c>
      <c r="K6" s="42" t="s">
        <v>89</v>
      </c>
      <c r="L6" s="36"/>
      <c r="M6" s="38"/>
      <c r="N6" s="43"/>
      <c r="Q6" s="44"/>
    </row>
    <row r="7" spans="2:17">
      <c r="B7" s="36"/>
      <c r="M7" s="39"/>
      <c r="Q7" s="44"/>
    </row>
    <row r="8" spans="2:17">
      <c r="B8" s="36"/>
      <c r="D8" t="s">
        <v>51</v>
      </c>
      <c r="E8" s="45" t="s">
        <v>77</v>
      </c>
      <c r="F8" s="10">
        <f>'Decision matrix'!D4</f>
        <v>117.86809281908999</v>
      </c>
      <c r="G8" s="10">
        <f>'Decision matrix'!E4</f>
        <v>23.573618563818002</v>
      </c>
      <c r="H8" s="10">
        <f>'Decision matrix'!F4</f>
        <v>0</v>
      </c>
      <c r="I8" s="10">
        <f>'Decision matrix'!G4</f>
        <v>23.573618563818002</v>
      </c>
      <c r="J8" s="10">
        <f>'Decision matrix'!H4</f>
        <v>47.147237127636004</v>
      </c>
      <c r="K8" s="10">
        <f>'Decision matrix'!I4</f>
        <v>70.720855691454304</v>
      </c>
      <c r="M8" s="38"/>
      <c r="Q8" s="44"/>
    </row>
    <row r="9" spans="2:17">
      <c r="B9" s="36"/>
      <c r="D9" t="s">
        <v>9</v>
      </c>
      <c r="E9" s="45" t="s">
        <v>77</v>
      </c>
      <c r="F9" s="10">
        <f>'Decision matrix'!D5</f>
        <v>0</v>
      </c>
      <c r="G9" s="10">
        <f>'Decision matrix'!E5</f>
        <v>136</v>
      </c>
      <c r="H9" s="10">
        <f>'Decision matrix'!F5</f>
        <v>60</v>
      </c>
      <c r="I9" s="10">
        <f>'Decision matrix'!G5</f>
        <v>52.5</v>
      </c>
      <c r="J9" s="10">
        <f>'Decision matrix'!H5</f>
        <v>70</v>
      </c>
      <c r="K9" s="10">
        <f>'Decision matrix'!I5</f>
        <v>27.5</v>
      </c>
      <c r="M9" s="38"/>
      <c r="Q9" s="44"/>
    </row>
    <row r="10" spans="2:17">
      <c r="B10" s="36"/>
      <c r="D10" s="44" t="s">
        <v>37</v>
      </c>
      <c r="E10" s="45" t="s">
        <v>77</v>
      </c>
      <c r="F10" s="10">
        <f>'Decision matrix'!D6</f>
        <v>0</v>
      </c>
      <c r="G10" s="10">
        <f>'Decision matrix'!E6</f>
        <v>0</v>
      </c>
      <c r="H10" s="10">
        <f>'Decision matrix'!F6</f>
        <v>0</v>
      </c>
      <c r="I10" s="10">
        <f>'Decision matrix'!G6</f>
        <v>4.5</v>
      </c>
      <c r="J10" s="10">
        <f>'Decision matrix'!H6</f>
        <v>6</v>
      </c>
      <c r="K10" s="10">
        <f>'Decision matrix'!I6</f>
        <v>0</v>
      </c>
      <c r="M10" s="38"/>
    </row>
    <row r="11" spans="2:17">
      <c r="B11" s="36"/>
      <c r="D11" s="44" t="s">
        <v>7</v>
      </c>
      <c r="E11" s="45" t="s">
        <v>16</v>
      </c>
      <c r="F11" s="10">
        <f>'Decision matrix'!D7</f>
        <v>675.09225946436254</v>
      </c>
      <c r="G11" s="10">
        <f>'Decision matrix'!E7</f>
        <v>137</v>
      </c>
      <c r="H11" s="10">
        <f>'Decision matrix'!F7</f>
        <v>0</v>
      </c>
      <c r="I11" s="10">
        <f>'Decision matrix'!G7</f>
        <v>163</v>
      </c>
      <c r="J11" s="10">
        <f>'Decision matrix'!H7</f>
        <v>179</v>
      </c>
      <c r="K11" s="10">
        <f>'Decision matrix'!I7</f>
        <v>337.54612973218127</v>
      </c>
      <c r="M11" s="38"/>
    </row>
    <row r="12" spans="2:17">
      <c r="B12" s="36"/>
      <c r="D12" s="44" t="s">
        <v>22</v>
      </c>
      <c r="E12" s="45" t="s">
        <v>26</v>
      </c>
      <c r="F12" s="10">
        <f>'Decision matrix'!D8</f>
        <v>20</v>
      </c>
      <c r="G12" s="10">
        <f>'Decision matrix'!E8</f>
        <v>5</v>
      </c>
      <c r="H12" s="10">
        <f>'Decision matrix'!F8</f>
        <v>0</v>
      </c>
      <c r="I12" s="10">
        <f>'Decision matrix'!G8</f>
        <v>10</v>
      </c>
      <c r="J12" s="10">
        <f>'Decision matrix'!H8</f>
        <v>5</v>
      </c>
      <c r="K12" s="10">
        <f>'Decision matrix'!I8</f>
        <v>10</v>
      </c>
      <c r="M12" s="38"/>
    </row>
    <row r="13" spans="2:17">
      <c r="B13" s="36"/>
      <c r="D13" s="44" t="s">
        <v>21</v>
      </c>
      <c r="E13" s="45" t="s">
        <v>11</v>
      </c>
      <c r="F13" s="10">
        <f>'Decision matrix'!D9</f>
        <v>0</v>
      </c>
      <c r="G13" s="10">
        <f>'Decision matrix'!E9</f>
        <v>265</v>
      </c>
      <c r="H13" s="10">
        <f>'Decision matrix'!F9</f>
        <v>0</v>
      </c>
      <c r="I13" s="10">
        <f>'Decision matrix'!G9</f>
        <v>0</v>
      </c>
      <c r="J13" s="10">
        <f>'Decision matrix'!H9</f>
        <v>0</v>
      </c>
      <c r="K13" s="10">
        <f>'Decision matrix'!I9</f>
        <v>15</v>
      </c>
      <c r="M13" s="38"/>
    </row>
    <row r="14" spans="2:17">
      <c r="B14" s="36"/>
      <c r="D14" s="44" t="s">
        <v>61</v>
      </c>
      <c r="E14" s="45" t="s">
        <v>62</v>
      </c>
      <c r="F14" s="10">
        <f>'Decision matrix'!D10</f>
        <v>13.181468480788094</v>
      </c>
      <c r="G14" s="10">
        <f>'Decision matrix'!E10</f>
        <v>13.181468480788094</v>
      </c>
      <c r="H14" s="10">
        <f>'Decision matrix'!F10</f>
        <v>35.969769922150576</v>
      </c>
      <c r="I14" s="10">
        <f>'Decision matrix'!G10</f>
        <v>22.564886721349122</v>
      </c>
      <c r="J14" s="10">
        <f>'Decision matrix'!H10</f>
        <v>16.756104001001816</v>
      </c>
      <c r="K14" s="10">
        <f>'Decision matrix'!I10</f>
        <v>13.181468480788094</v>
      </c>
      <c r="M14" s="38"/>
    </row>
    <row r="15" spans="2:17">
      <c r="B15" s="36"/>
      <c r="D15" s="44" t="s">
        <v>38</v>
      </c>
      <c r="E15" s="45" t="s">
        <v>77</v>
      </c>
      <c r="F15" s="10">
        <f>'Decision matrix'!D11</f>
        <v>0</v>
      </c>
      <c r="G15" s="10">
        <f>'Decision matrix'!E11</f>
        <v>0</v>
      </c>
      <c r="H15" s="10">
        <f>'Decision matrix'!F11</f>
        <v>0</v>
      </c>
      <c r="I15" s="10">
        <f>'Decision matrix'!G11</f>
        <v>25.295999999999999</v>
      </c>
      <c r="J15" s="10">
        <f>'Decision matrix'!H11</f>
        <v>50.591999999999999</v>
      </c>
      <c r="K15" s="10">
        <f>'Decision matrix'!I11</f>
        <v>0</v>
      </c>
      <c r="M15" s="38"/>
    </row>
    <row r="16" spans="2:17">
      <c r="B16" s="36"/>
      <c r="D16" s="44" t="s">
        <v>43</v>
      </c>
      <c r="E16" s="45" t="s">
        <v>77</v>
      </c>
      <c r="F16" s="10">
        <f>'Decision matrix'!D12</f>
        <v>0</v>
      </c>
      <c r="G16" s="10">
        <f>'Decision matrix'!E12</f>
        <v>0</v>
      </c>
      <c r="H16" s="10">
        <f>'Decision matrix'!F12</f>
        <v>0</v>
      </c>
      <c r="I16" s="10">
        <f>'Decision matrix'!G12</f>
        <v>30</v>
      </c>
      <c r="J16" s="10">
        <f>'Decision matrix'!H12</f>
        <v>60</v>
      </c>
      <c r="K16" s="10">
        <f>'Decision matrix'!I12</f>
        <v>0</v>
      </c>
      <c r="M16" s="38"/>
    </row>
    <row r="17" spans="2:13">
      <c r="B17" s="36"/>
      <c r="D17" s="44" t="s">
        <v>8</v>
      </c>
      <c r="E17" s="45" t="s">
        <v>12</v>
      </c>
      <c r="F17" s="10">
        <f>'Decision matrix'!D30</f>
        <v>358</v>
      </c>
      <c r="G17" s="10">
        <f>'Decision matrix'!E30</f>
        <v>89</v>
      </c>
      <c r="H17" s="10">
        <f>'Decision matrix'!F30</f>
        <v>0</v>
      </c>
      <c r="I17" s="10">
        <f>'Decision matrix'!G30</f>
        <v>157</v>
      </c>
      <c r="J17" s="10">
        <f>'Decision matrix'!H30</f>
        <v>178</v>
      </c>
      <c r="K17" s="10">
        <f>'Decision matrix'!I30</f>
        <v>319</v>
      </c>
      <c r="M17" s="38"/>
    </row>
    <row r="18" spans="2:13">
      <c r="B18" s="36"/>
      <c r="D18" s="44" t="s">
        <v>10</v>
      </c>
      <c r="E18" s="45" t="s">
        <v>13</v>
      </c>
      <c r="F18" s="10">
        <f>'Decision matrix'!D14</f>
        <v>0</v>
      </c>
      <c r="G18" s="10">
        <f>'Decision matrix'!E14</f>
        <v>32</v>
      </c>
      <c r="H18" s="10">
        <f>'Decision matrix'!F14</f>
        <v>0</v>
      </c>
      <c r="I18" s="10">
        <f>'Decision matrix'!G14</f>
        <v>0</v>
      </c>
      <c r="J18" s="10">
        <f>'Decision matrix'!H14</f>
        <v>0</v>
      </c>
      <c r="K18" s="10">
        <f>'Decision matrix'!I14</f>
        <v>0</v>
      </c>
      <c r="M18" s="38"/>
    </row>
    <row r="19" spans="2:13">
      <c r="B19" s="36"/>
      <c r="M19" s="38"/>
    </row>
    <row r="20" spans="2:13">
      <c r="B20" s="36"/>
      <c r="C20" s="36"/>
      <c r="D20" s="36"/>
      <c r="E20" s="37"/>
      <c r="F20" s="37"/>
      <c r="G20" s="38"/>
      <c r="H20" s="38"/>
      <c r="I20" s="38"/>
      <c r="J20" s="38"/>
      <c r="K20" s="38"/>
      <c r="L20" s="36"/>
      <c r="M20" s="39"/>
    </row>
    <row r="21" spans="2:13" ht="15.75" thickBot="1">
      <c r="B21" s="36"/>
      <c r="C21" s="36"/>
      <c r="D21" s="41" t="s">
        <v>100</v>
      </c>
      <c r="E21" s="37"/>
      <c r="F21" s="42" t="s">
        <v>94</v>
      </c>
      <c r="G21" s="42" t="s">
        <v>85</v>
      </c>
      <c r="H21" s="42" t="s">
        <v>86</v>
      </c>
      <c r="I21" s="42" t="s">
        <v>87</v>
      </c>
      <c r="J21" s="42" t="s">
        <v>88</v>
      </c>
      <c r="K21" s="42" t="s">
        <v>89</v>
      </c>
      <c r="L21" s="36"/>
      <c r="M21" s="39"/>
    </row>
    <row r="22" spans="2:13">
      <c r="B22" s="36"/>
      <c r="M22" s="39"/>
    </row>
    <row r="23" spans="2:13">
      <c r="B23" s="36"/>
      <c r="D23" s="46" t="s">
        <v>95</v>
      </c>
      <c r="H23" s="47" t="s">
        <v>90</v>
      </c>
      <c r="I23" s="47" t="s">
        <v>91</v>
      </c>
      <c r="M23" s="39"/>
    </row>
    <row r="24" spans="2:13">
      <c r="B24" s="36"/>
      <c r="D24" s="4" t="str">
        <f>D8</f>
        <v>Material flood risk</v>
      </c>
      <c r="E24" s="59" t="str">
        <f>E8</f>
        <v>million €</v>
      </c>
      <c r="F24" s="48" t="s">
        <v>97</v>
      </c>
      <c r="H24" s="60">
        <f t="shared" ref="H24:H30" si="0">MAX(F8:K8)</f>
        <v>117.86809281908999</v>
      </c>
      <c r="I24" s="60">
        <f t="shared" ref="I24:I30" si="1">MIN(F8:K8)</f>
        <v>0</v>
      </c>
      <c r="M24" s="39"/>
    </row>
    <row r="25" spans="2:13">
      <c r="B25" s="36"/>
      <c r="D25" s="4" t="str">
        <f t="shared" ref="D25:E34" si="2">D9</f>
        <v>Investment and operating costs</v>
      </c>
      <c r="E25" s="59" t="str">
        <f t="shared" si="2"/>
        <v>million €</v>
      </c>
      <c r="F25" s="48" t="s">
        <v>97</v>
      </c>
      <c r="H25" s="60">
        <f t="shared" si="0"/>
        <v>136</v>
      </c>
      <c r="I25" s="60">
        <f t="shared" si="1"/>
        <v>0</v>
      </c>
      <c r="M25" s="39"/>
    </row>
    <row r="26" spans="2:13">
      <c r="B26" s="36"/>
      <c r="D26" s="4" t="str">
        <f t="shared" si="2"/>
        <v xml:space="preserve">Loss of agricultural production </v>
      </c>
      <c r="E26" s="59" t="str">
        <f t="shared" si="2"/>
        <v>million €</v>
      </c>
      <c r="F26" s="48" t="s">
        <v>97</v>
      </c>
      <c r="H26" s="60">
        <f t="shared" si="0"/>
        <v>6</v>
      </c>
      <c r="I26" s="60">
        <f t="shared" si="1"/>
        <v>0</v>
      </c>
      <c r="M26" s="39"/>
    </row>
    <row r="27" spans="2:13">
      <c r="B27" s="36"/>
      <c r="D27" s="4" t="str">
        <f t="shared" si="2"/>
        <v>Social flood risk</v>
      </c>
      <c r="E27" s="59" t="str">
        <f t="shared" si="2"/>
        <v>Social Flood Impact (SFI) score</v>
      </c>
      <c r="F27" s="48" t="s">
        <v>97</v>
      </c>
      <c r="H27" s="60">
        <f t="shared" si="0"/>
        <v>675.09225946436254</v>
      </c>
      <c r="I27" s="60">
        <f t="shared" si="1"/>
        <v>0</v>
      </c>
      <c r="J27" s="49"/>
      <c r="K27" s="49"/>
      <c r="M27" s="39"/>
    </row>
    <row r="28" spans="2:13">
      <c r="B28" s="36"/>
      <c r="D28" s="4" t="str">
        <f t="shared" si="2"/>
        <v>Fatalities</v>
      </c>
      <c r="E28" s="59" t="str">
        <f t="shared" si="2"/>
        <v># deaths</v>
      </c>
      <c r="F28" s="48" t="s">
        <v>97</v>
      </c>
      <c r="H28" s="60">
        <f t="shared" si="0"/>
        <v>20</v>
      </c>
      <c r="I28" s="60">
        <f t="shared" si="1"/>
        <v>0</v>
      </c>
      <c r="M28" s="39"/>
    </row>
    <row r="29" spans="2:13">
      <c r="B29" s="36"/>
      <c r="D29" s="4" t="str">
        <f t="shared" si="2"/>
        <v>Social impact of expropriation</v>
      </c>
      <c r="E29" s="59" t="str">
        <f t="shared" si="2"/>
        <v># people relocated</v>
      </c>
      <c r="F29" s="48" t="s">
        <v>97</v>
      </c>
      <c r="H29" s="60">
        <f t="shared" si="0"/>
        <v>265</v>
      </c>
      <c r="I29" s="60">
        <f t="shared" si="1"/>
        <v>0</v>
      </c>
      <c r="M29" s="39"/>
    </row>
    <row r="30" spans="2:13">
      <c r="B30" s="36"/>
      <c r="D30" s="4" t="str">
        <f t="shared" si="2"/>
        <v>Ecological flood  risk</v>
      </c>
      <c r="E30" s="59" t="str">
        <f t="shared" si="2"/>
        <v>Ecological Flood Impact (EFI) score</v>
      </c>
      <c r="F30" s="48" t="s">
        <v>97</v>
      </c>
      <c r="H30" s="60">
        <f t="shared" si="0"/>
        <v>35.969769922150576</v>
      </c>
      <c r="I30" s="60">
        <f t="shared" si="1"/>
        <v>13.181468480788094</v>
      </c>
      <c r="M30" s="39"/>
    </row>
    <row r="31" spans="2:13">
      <c r="B31" s="36"/>
      <c r="D31" s="4" t="str">
        <f t="shared" si="2"/>
        <v>Ecosystem service benefits</v>
      </c>
      <c r="E31" s="59" t="str">
        <f t="shared" si="2"/>
        <v>million €</v>
      </c>
      <c r="F31" s="48" t="s">
        <v>98</v>
      </c>
      <c r="H31" s="60">
        <f>MIN(F15:K15)</f>
        <v>0</v>
      </c>
      <c r="I31" s="60">
        <f>MAX(F15:K15)</f>
        <v>50.591999999999999</v>
      </c>
      <c r="M31" s="39"/>
    </row>
    <row r="32" spans="2:13">
      <c r="B32" s="36"/>
      <c r="D32" s="4" t="str">
        <f t="shared" si="2"/>
        <v>Non-use values</v>
      </c>
      <c r="E32" s="59" t="str">
        <f t="shared" si="2"/>
        <v>million €</v>
      </c>
      <c r="F32" s="48" t="s">
        <v>98</v>
      </c>
      <c r="H32" s="60">
        <f>MIN(F16:K16)</f>
        <v>0</v>
      </c>
      <c r="I32" s="60">
        <f>MAX(F16:K16)</f>
        <v>60</v>
      </c>
      <c r="M32" s="39"/>
    </row>
    <row r="33" spans="2:13">
      <c r="B33" s="36"/>
      <c r="D33" s="4" t="str">
        <f t="shared" si="2"/>
        <v>Flood impact to cultural heritage</v>
      </c>
      <c r="E33" s="59" t="str">
        <f t="shared" si="2"/>
        <v># properties flooded with a cultural value</v>
      </c>
      <c r="F33" s="48" t="s">
        <v>97</v>
      </c>
      <c r="H33" s="60">
        <f>MAX(F17:K17)</f>
        <v>358</v>
      </c>
      <c r="I33" s="60">
        <f>MIN(F17:K17)</f>
        <v>0</v>
      </c>
      <c r="M33" s="39"/>
    </row>
    <row r="34" spans="2:13">
      <c r="B34" s="36"/>
      <c r="D34" s="4" t="str">
        <f t="shared" si="2"/>
        <v>Impact from removing cultural heritage</v>
      </c>
      <c r="E34" s="59" t="str">
        <f t="shared" si="2"/>
        <v># properties demolished with a cultural value</v>
      </c>
      <c r="F34" s="48" t="s">
        <v>97</v>
      </c>
      <c r="H34" s="60">
        <f>MAX(F18:K18)</f>
        <v>32</v>
      </c>
      <c r="I34" s="60">
        <f>MIN(F18:K18)</f>
        <v>0</v>
      </c>
      <c r="M34" s="39"/>
    </row>
    <row r="35" spans="2:13">
      <c r="B35" s="36"/>
      <c r="D35" s="6"/>
      <c r="M35" s="39"/>
    </row>
    <row r="36" spans="2:13">
      <c r="B36" s="36"/>
      <c r="D36" s="46" t="s">
        <v>96</v>
      </c>
      <c r="M36" s="39"/>
    </row>
    <row r="37" spans="2:13">
      <c r="B37" s="36"/>
      <c r="D37" s="4" t="str">
        <f>D24</f>
        <v>Material flood risk</v>
      </c>
      <c r="E37" s="59"/>
      <c r="F37" s="50">
        <f t="shared" ref="F37:K47" si="3">(F8-($H24))/($I24-($H24))</f>
        <v>0</v>
      </c>
      <c r="G37" s="50">
        <f t="shared" si="3"/>
        <v>0.79999999999999993</v>
      </c>
      <c r="H37" s="50">
        <f t="shared" si="3"/>
        <v>1</v>
      </c>
      <c r="I37" s="50">
        <f t="shared" si="3"/>
        <v>0.79999999999999993</v>
      </c>
      <c r="J37" s="50">
        <f t="shared" si="3"/>
        <v>0.6</v>
      </c>
      <c r="K37" s="50">
        <f t="shared" si="3"/>
        <v>0.39999999999999741</v>
      </c>
      <c r="M37" s="39"/>
    </row>
    <row r="38" spans="2:13">
      <c r="B38" s="36"/>
      <c r="D38" s="4" t="str">
        <f t="shared" ref="D38:D47" si="4">D25</f>
        <v>Investment and operating costs</v>
      </c>
      <c r="E38" s="59"/>
      <c r="F38" s="50">
        <f t="shared" si="3"/>
        <v>1</v>
      </c>
      <c r="G38" s="50">
        <f t="shared" si="3"/>
        <v>0</v>
      </c>
      <c r="H38" s="50">
        <f t="shared" si="3"/>
        <v>0.55882352941176472</v>
      </c>
      <c r="I38" s="50">
        <f t="shared" si="3"/>
        <v>0.61397058823529416</v>
      </c>
      <c r="J38" s="50">
        <f t="shared" si="3"/>
        <v>0.48529411764705882</v>
      </c>
      <c r="K38" s="50">
        <f t="shared" si="3"/>
        <v>0.79779411764705888</v>
      </c>
      <c r="M38" s="39"/>
    </row>
    <row r="39" spans="2:13">
      <c r="B39" s="36"/>
      <c r="D39" s="4" t="str">
        <f t="shared" si="4"/>
        <v xml:space="preserve">Loss of agricultural production </v>
      </c>
      <c r="E39" s="59"/>
      <c r="F39" s="50">
        <f t="shared" si="3"/>
        <v>1</v>
      </c>
      <c r="G39" s="50">
        <f t="shared" si="3"/>
        <v>1</v>
      </c>
      <c r="H39" s="50">
        <f t="shared" si="3"/>
        <v>1</v>
      </c>
      <c r="I39" s="50">
        <f t="shared" si="3"/>
        <v>0.25</v>
      </c>
      <c r="J39" s="50">
        <f t="shared" si="3"/>
        <v>0</v>
      </c>
      <c r="K39" s="50">
        <f t="shared" si="3"/>
        <v>1</v>
      </c>
      <c r="M39" s="39"/>
    </row>
    <row r="40" spans="2:13">
      <c r="B40" s="36"/>
      <c r="D40" s="4" t="str">
        <f t="shared" si="4"/>
        <v>Social flood risk</v>
      </c>
      <c r="E40" s="59"/>
      <c r="F40" s="50">
        <f t="shared" si="3"/>
        <v>0</v>
      </c>
      <c r="G40" s="50">
        <f t="shared" si="3"/>
        <v>0.79706477436328527</v>
      </c>
      <c r="H40" s="50">
        <f t="shared" si="3"/>
        <v>1</v>
      </c>
      <c r="I40" s="50">
        <f t="shared" si="3"/>
        <v>0.75855151986288682</v>
      </c>
      <c r="J40" s="50">
        <f t="shared" si="3"/>
        <v>0.73485105555494934</v>
      </c>
      <c r="K40" s="50">
        <f t="shared" si="3"/>
        <v>0.5</v>
      </c>
      <c r="M40" s="39"/>
    </row>
    <row r="41" spans="2:13">
      <c r="B41" s="36"/>
      <c r="D41" s="4" t="str">
        <f t="shared" si="4"/>
        <v>Fatalities</v>
      </c>
      <c r="E41" s="59"/>
      <c r="F41" s="50">
        <f t="shared" si="3"/>
        <v>0</v>
      </c>
      <c r="G41" s="50">
        <f t="shared" si="3"/>
        <v>0.75</v>
      </c>
      <c r="H41" s="50">
        <f t="shared" si="3"/>
        <v>1</v>
      </c>
      <c r="I41" s="50">
        <f t="shared" si="3"/>
        <v>0.5</v>
      </c>
      <c r="J41" s="50">
        <f t="shared" si="3"/>
        <v>0.75</v>
      </c>
      <c r="K41" s="50">
        <f t="shared" si="3"/>
        <v>0.5</v>
      </c>
      <c r="M41" s="39"/>
    </row>
    <row r="42" spans="2:13">
      <c r="B42" s="36"/>
      <c r="D42" s="4" t="str">
        <f t="shared" si="4"/>
        <v>Social impact of expropriation</v>
      </c>
      <c r="E42" s="59"/>
      <c r="F42" s="50">
        <f t="shared" si="3"/>
        <v>1</v>
      </c>
      <c r="G42" s="50">
        <f t="shared" si="3"/>
        <v>0</v>
      </c>
      <c r="H42" s="50">
        <f t="shared" si="3"/>
        <v>1</v>
      </c>
      <c r="I42" s="50">
        <f t="shared" si="3"/>
        <v>1</v>
      </c>
      <c r="J42" s="50">
        <f t="shared" si="3"/>
        <v>1</v>
      </c>
      <c r="K42" s="50">
        <f t="shared" si="3"/>
        <v>0.94339622641509435</v>
      </c>
      <c r="M42" s="39"/>
    </row>
    <row r="43" spans="2:13">
      <c r="B43" s="36"/>
      <c r="D43" s="4" t="str">
        <f t="shared" si="4"/>
        <v>Ecological flood  risk</v>
      </c>
      <c r="E43" s="59"/>
      <c r="F43" s="50">
        <f t="shared" si="3"/>
        <v>1</v>
      </c>
      <c r="G43" s="50">
        <f t="shared" si="3"/>
        <v>1</v>
      </c>
      <c r="H43" s="50">
        <f t="shared" si="3"/>
        <v>0</v>
      </c>
      <c r="I43" s="50">
        <f t="shared" si="3"/>
        <v>0.58823529411764675</v>
      </c>
      <c r="J43" s="50">
        <f t="shared" si="3"/>
        <v>0.84313725490196079</v>
      </c>
      <c r="K43" s="50">
        <f t="shared" si="3"/>
        <v>1</v>
      </c>
      <c r="M43" s="39"/>
    </row>
    <row r="44" spans="2:13">
      <c r="B44" s="36"/>
      <c r="D44" s="4" t="str">
        <f t="shared" si="4"/>
        <v>Ecosystem service benefits</v>
      </c>
      <c r="E44" s="59"/>
      <c r="F44" s="50">
        <f t="shared" si="3"/>
        <v>0</v>
      </c>
      <c r="G44" s="50">
        <f t="shared" si="3"/>
        <v>0</v>
      </c>
      <c r="H44" s="50">
        <f t="shared" si="3"/>
        <v>0</v>
      </c>
      <c r="I44" s="50">
        <f t="shared" si="3"/>
        <v>0.5</v>
      </c>
      <c r="J44" s="50">
        <f t="shared" si="3"/>
        <v>1</v>
      </c>
      <c r="K44" s="50">
        <f t="shared" si="3"/>
        <v>0</v>
      </c>
      <c r="M44" s="39"/>
    </row>
    <row r="45" spans="2:13">
      <c r="B45" s="36"/>
      <c r="D45" s="4" t="str">
        <f t="shared" si="4"/>
        <v>Non-use values</v>
      </c>
      <c r="E45" s="59"/>
      <c r="F45" s="50">
        <f t="shared" si="3"/>
        <v>0</v>
      </c>
      <c r="G45" s="50">
        <f t="shared" si="3"/>
        <v>0</v>
      </c>
      <c r="H45" s="50">
        <f t="shared" si="3"/>
        <v>0</v>
      </c>
      <c r="I45" s="50">
        <f t="shared" si="3"/>
        <v>0.5</v>
      </c>
      <c r="J45" s="50">
        <f t="shared" si="3"/>
        <v>1</v>
      </c>
      <c r="K45" s="50">
        <f t="shared" si="3"/>
        <v>0</v>
      </c>
      <c r="M45" s="39"/>
    </row>
    <row r="46" spans="2:13">
      <c r="B46" s="36"/>
      <c r="D46" s="4" t="str">
        <f t="shared" si="4"/>
        <v>Flood impact to cultural heritage</v>
      </c>
      <c r="E46" s="59"/>
      <c r="F46" s="50">
        <f t="shared" si="3"/>
        <v>0</v>
      </c>
      <c r="G46" s="50">
        <f t="shared" si="3"/>
        <v>0.75139664804469275</v>
      </c>
      <c r="H46" s="50">
        <f t="shared" si="3"/>
        <v>1</v>
      </c>
      <c r="I46" s="50">
        <f t="shared" si="3"/>
        <v>0.56145251396648044</v>
      </c>
      <c r="J46" s="50">
        <f t="shared" si="3"/>
        <v>0.5027932960893855</v>
      </c>
      <c r="K46" s="50">
        <f t="shared" si="3"/>
        <v>0.10893854748603352</v>
      </c>
      <c r="M46" s="39"/>
    </row>
    <row r="47" spans="2:13">
      <c r="B47" s="36"/>
      <c r="D47" s="4" t="str">
        <f t="shared" si="4"/>
        <v>Impact from removing cultural heritage</v>
      </c>
      <c r="E47" s="59"/>
      <c r="F47" s="50">
        <f t="shared" si="3"/>
        <v>1</v>
      </c>
      <c r="G47" s="50">
        <f t="shared" si="3"/>
        <v>0</v>
      </c>
      <c r="H47" s="50">
        <f t="shared" si="3"/>
        <v>1</v>
      </c>
      <c r="I47" s="50">
        <f t="shared" si="3"/>
        <v>1</v>
      </c>
      <c r="J47" s="50">
        <f t="shared" si="3"/>
        <v>1</v>
      </c>
      <c r="K47" s="50">
        <f t="shared" si="3"/>
        <v>1</v>
      </c>
      <c r="M47" s="39"/>
    </row>
    <row r="48" spans="2:13">
      <c r="B48" s="36"/>
      <c r="M48" s="39"/>
    </row>
    <row r="49" spans="2:13">
      <c r="B49" s="36"/>
      <c r="C49" s="36"/>
      <c r="D49" s="36"/>
      <c r="E49" s="37"/>
      <c r="F49" s="37"/>
      <c r="G49" s="38"/>
      <c r="H49" s="38"/>
      <c r="I49" s="38"/>
      <c r="J49" s="38"/>
      <c r="K49" s="38"/>
      <c r="L49" s="36"/>
      <c r="M49" s="39"/>
    </row>
    <row r="50" spans="2:13" ht="15.75" thickBot="1">
      <c r="B50" s="36"/>
      <c r="C50" s="36"/>
      <c r="D50" s="41" t="s">
        <v>101</v>
      </c>
      <c r="E50" s="37"/>
      <c r="F50" s="37"/>
      <c r="G50" s="38"/>
      <c r="H50" s="38"/>
      <c r="I50" s="38"/>
      <c r="J50" s="38"/>
      <c r="K50" s="38"/>
      <c r="L50" s="36"/>
      <c r="M50" s="39"/>
    </row>
    <row r="51" spans="2:13">
      <c r="B51" s="52"/>
      <c r="M51" s="39"/>
    </row>
    <row r="52" spans="2:13">
      <c r="B52" s="52"/>
      <c r="D52" t="str">
        <f>D8</f>
        <v>Material flood risk</v>
      </c>
      <c r="E52" s="53"/>
      <c r="F52" s="53"/>
      <c r="G52" s="62">
        <f>ABS(I24-H24)/(ABS(I$24-H$24)+ABS(I$25-H$25)+ABS(I$26-H$26)+ABS(H$31-I$31))*(1-G$55-G$56-G$57-G$58-G$60-G$61-G$62)</f>
        <v>0.2657593258578374</v>
      </c>
      <c r="I52" s="68"/>
      <c r="J52" s="61"/>
      <c r="K52" s="61"/>
      <c r="M52" s="39"/>
    </row>
    <row r="53" spans="2:13">
      <c r="B53" s="52"/>
      <c r="D53" t="str">
        <f t="shared" ref="D53:D62" si="5">D9</f>
        <v>Investment and operating costs</v>
      </c>
      <c r="E53" s="53"/>
      <c r="F53" s="53"/>
      <c r="G53" s="62">
        <f t="shared" ref="G53:G54" si="6">ABS(I25-H25)/(ABS(I$24-H$24)+ABS(I$25-H$25)+ABS(I$26-H$26)+ABS(H$31-I$31))*(1-G$55-G$56-G$57-G$58-G$60-G$61-G$62)</f>
        <v>0.30664166571474466</v>
      </c>
      <c r="I53" s="68"/>
      <c r="J53" s="51"/>
      <c r="K53" s="51"/>
      <c r="M53" s="39"/>
    </row>
    <row r="54" spans="2:13">
      <c r="B54" s="52"/>
      <c r="D54" t="str">
        <f t="shared" si="5"/>
        <v xml:space="preserve">Loss of agricultural production </v>
      </c>
      <c r="E54" s="53"/>
      <c r="F54" s="53"/>
      <c r="G54" s="62">
        <f t="shared" si="6"/>
        <v>1.3528308781532852E-2</v>
      </c>
      <c r="H54" s="54"/>
      <c r="I54" s="68"/>
      <c r="J54" s="61"/>
      <c r="K54" s="61"/>
      <c r="M54" s="39"/>
    </row>
    <row r="55" spans="2:13">
      <c r="B55" s="52"/>
      <c r="D55" t="str">
        <f t="shared" si="5"/>
        <v>Social flood risk</v>
      </c>
      <c r="E55" s="53"/>
      <c r="F55" s="53"/>
      <c r="G55" s="63">
        <v>0.05</v>
      </c>
      <c r="I55" s="68"/>
      <c r="M55" s="39"/>
    </row>
    <row r="56" spans="2:13">
      <c r="B56" s="52"/>
      <c r="D56" t="str">
        <f t="shared" si="5"/>
        <v>Fatalities</v>
      </c>
      <c r="E56" s="53"/>
      <c r="F56" s="53"/>
      <c r="G56" s="63">
        <v>0.2</v>
      </c>
      <c r="I56" s="68"/>
      <c r="M56" s="39"/>
    </row>
    <row r="57" spans="2:13">
      <c r="B57" s="52"/>
      <c r="D57" t="str">
        <f t="shared" si="5"/>
        <v>Social impact of expropriation</v>
      </c>
      <c r="E57" s="53"/>
      <c r="F57" s="53"/>
      <c r="G57" s="63">
        <v>0.01</v>
      </c>
      <c r="I57" s="68"/>
      <c r="M57" s="39"/>
    </row>
    <row r="58" spans="2:13">
      <c r="B58" s="52"/>
      <c r="D58" t="str">
        <f t="shared" si="5"/>
        <v>Ecological flood  risk</v>
      </c>
      <c r="E58" s="53"/>
      <c r="F58" s="53"/>
      <c r="G58" s="63">
        <v>0.01</v>
      </c>
      <c r="I58" s="68"/>
      <c r="M58" s="39"/>
    </row>
    <row r="59" spans="2:13">
      <c r="B59" s="52"/>
      <c r="D59" t="str">
        <f t="shared" si="5"/>
        <v>Ecosystem service benefits</v>
      </c>
      <c r="E59" s="53"/>
      <c r="F59" s="53"/>
      <c r="G59" s="62">
        <f>ABS(I31-H31)/(ABS(I$24-H$24)+ABS(I$25-H$25)+ABS(I$26-H$26)+ABS(H$31-I$31))*(1-G$55-G$56-G$57-G$58-G$60-G$61-G$62)</f>
        <v>0.11407069964588502</v>
      </c>
      <c r="I59" s="68"/>
      <c r="M59" s="39"/>
    </row>
    <row r="60" spans="2:13">
      <c r="B60" s="52"/>
      <c r="D60" t="str">
        <f t="shared" si="5"/>
        <v>Non-use values</v>
      </c>
      <c r="E60" s="53"/>
      <c r="F60" s="53"/>
      <c r="G60" s="63">
        <v>0.01</v>
      </c>
      <c r="I60" s="68"/>
      <c r="M60" s="39"/>
    </row>
    <row r="61" spans="2:13">
      <c r="B61" s="52"/>
      <c r="D61" t="str">
        <f t="shared" si="5"/>
        <v>Flood impact to cultural heritage</v>
      </c>
      <c r="E61" s="53"/>
      <c r="F61" s="53"/>
      <c r="G61" s="63">
        <v>0.01</v>
      </c>
      <c r="I61" s="68"/>
      <c r="M61" s="39"/>
    </row>
    <row r="62" spans="2:13">
      <c r="B62" s="52"/>
      <c r="D62" t="str">
        <f t="shared" si="5"/>
        <v>Impact from removing cultural heritage</v>
      </c>
      <c r="E62" s="53"/>
      <c r="F62" s="53"/>
      <c r="G62" s="63">
        <v>0.01</v>
      </c>
      <c r="I62" s="68"/>
      <c r="M62" s="39"/>
    </row>
    <row r="63" spans="2:13">
      <c r="B63" s="52"/>
      <c r="D63" s="55"/>
      <c r="M63" s="39"/>
    </row>
    <row r="64" spans="2:13">
      <c r="B64" s="52"/>
      <c r="D64" s="56" t="s">
        <v>92</v>
      </c>
      <c r="E64" s="57"/>
      <c r="F64" s="57"/>
      <c r="G64" s="57">
        <f>SUM(G52:G63)</f>
        <v>1</v>
      </c>
      <c r="M64" s="39"/>
    </row>
    <row r="65" spans="2:13">
      <c r="B65" s="52"/>
      <c r="D65" s="55"/>
      <c r="M65" s="39"/>
    </row>
    <row r="66" spans="2:13">
      <c r="B66" s="52"/>
      <c r="C66" s="36"/>
      <c r="D66" s="36"/>
      <c r="E66" s="37"/>
      <c r="F66" s="37"/>
      <c r="G66" s="38"/>
      <c r="H66" s="38"/>
      <c r="I66" s="38"/>
      <c r="J66" s="38"/>
      <c r="K66" s="38"/>
      <c r="L66" s="36"/>
      <c r="M66" s="39"/>
    </row>
    <row r="67" spans="2:13" ht="15.75" thickBot="1">
      <c r="B67" s="36"/>
      <c r="C67" s="36"/>
      <c r="D67" s="41" t="s">
        <v>53</v>
      </c>
      <c r="E67" s="37"/>
      <c r="F67" s="42" t="s">
        <v>94</v>
      </c>
      <c r="G67" s="42" t="s">
        <v>85</v>
      </c>
      <c r="H67" s="42" t="s">
        <v>86</v>
      </c>
      <c r="I67" s="42" t="s">
        <v>87</v>
      </c>
      <c r="J67" s="42" t="s">
        <v>88</v>
      </c>
      <c r="K67" s="42" t="s">
        <v>89</v>
      </c>
      <c r="L67" s="36"/>
      <c r="M67" s="39"/>
    </row>
    <row r="68" spans="2:13">
      <c r="B68" s="36"/>
      <c r="M68" s="39"/>
    </row>
    <row r="69" spans="2:13">
      <c r="B69" s="36"/>
      <c r="D69" t="str">
        <f>D8</f>
        <v>Material flood risk</v>
      </c>
      <c r="E69" s="53"/>
      <c r="F69" s="58">
        <f>F37*$G52</f>
        <v>0</v>
      </c>
      <c r="G69" s="58">
        <f t="shared" ref="G69:K69" si="7">G37*$G52</f>
        <v>0.2126074606862699</v>
      </c>
      <c r="H69" s="58">
        <f t="shared" si="7"/>
        <v>0.2657593258578374</v>
      </c>
      <c r="I69" s="58">
        <f t="shared" si="7"/>
        <v>0.2126074606862699</v>
      </c>
      <c r="J69" s="58">
        <f t="shared" si="7"/>
        <v>0.15945559551470243</v>
      </c>
      <c r="K69" s="58">
        <f t="shared" si="7"/>
        <v>0.10630373034313427</v>
      </c>
      <c r="M69" s="39"/>
    </row>
    <row r="70" spans="2:13">
      <c r="B70" s="36"/>
      <c r="D70" t="str">
        <f t="shared" ref="D70:D79" si="8">D9</f>
        <v>Investment and operating costs</v>
      </c>
      <c r="E70" s="53"/>
      <c r="F70" s="58">
        <f t="shared" ref="F70:K79" si="9">F38*$G53</f>
        <v>0.30664166571474466</v>
      </c>
      <c r="G70" s="58">
        <f t="shared" si="9"/>
        <v>0</v>
      </c>
      <c r="H70" s="58">
        <f t="shared" si="9"/>
        <v>0.17135857789941614</v>
      </c>
      <c r="I70" s="58">
        <f t="shared" si="9"/>
        <v>0.18826896387633221</v>
      </c>
      <c r="J70" s="58">
        <f t="shared" si="9"/>
        <v>0.14881139659686138</v>
      </c>
      <c r="K70" s="58">
        <f t="shared" si="9"/>
        <v>0.2446369171327191</v>
      </c>
      <c r="M70" s="39"/>
    </row>
    <row r="71" spans="2:13">
      <c r="B71" s="36"/>
      <c r="D71" t="str">
        <f t="shared" si="8"/>
        <v xml:space="preserve">Loss of agricultural production </v>
      </c>
      <c r="E71" s="53"/>
      <c r="F71" s="58">
        <f t="shared" si="9"/>
        <v>1.3528308781532852E-2</v>
      </c>
      <c r="G71" s="58">
        <f t="shared" si="9"/>
        <v>1.3528308781532852E-2</v>
      </c>
      <c r="H71" s="58">
        <f t="shared" si="9"/>
        <v>1.3528308781532852E-2</v>
      </c>
      <c r="I71" s="58">
        <f t="shared" si="9"/>
        <v>3.3820771953832129E-3</v>
      </c>
      <c r="J71" s="58">
        <f t="shared" si="9"/>
        <v>0</v>
      </c>
      <c r="K71" s="58">
        <f t="shared" si="9"/>
        <v>1.3528308781532852E-2</v>
      </c>
      <c r="M71" s="39"/>
    </row>
    <row r="72" spans="2:13">
      <c r="B72" s="36"/>
      <c r="D72" t="str">
        <f t="shared" si="8"/>
        <v>Social flood risk</v>
      </c>
      <c r="E72" s="53"/>
      <c r="F72" s="58">
        <f t="shared" si="9"/>
        <v>0</v>
      </c>
      <c r="G72" s="58">
        <f t="shared" si="9"/>
        <v>3.9853238718164263E-2</v>
      </c>
      <c r="H72" s="58">
        <f t="shared" si="9"/>
        <v>0.05</v>
      </c>
      <c r="I72" s="58">
        <f t="shared" si="9"/>
        <v>3.7927575993144343E-2</v>
      </c>
      <c r="J72" s="58">
        <f t="shared" si="9"/>
        <v>3.6742552777747468E-2</v>
      </c>
      <c r="K72" s="58">
        <f t="shared" si="9"/>
        <v>2.5000000000000001E-2</v>
      </c>
      <c r="M72" s="39"/>
    </row>
    <row r="73" spans="2:13">
      <c r="B73" s="36"/>
      <c r="D73" t="str">
        <f t="shared" si="8"/>
        <v>Fatalities</v>
      </c>
      <c r="E73" s="53"/>
      <c r="F73" s="58">
        <f t="shared" si="9"/>
        <v>0</v>
      </c>
      <c r="G73" s="58">
        <f t="shared" si="9"/>
        <v>0.15000000000000002</v>
      </c>
      <c r="H73" s="58">
        <f t="shared" si="9"/>
        <v>0.2</v>
      </c>
      <c r="I73" s="58">
        <f t="shared" si="9"/>
        <v>0.1</v>
      </c>
      <c r="J73" s="58">
        <f t="shared" si="9"/>
        <v>0.15000000000000002</v>
      </c>
      <c r="K73" s="58">
        <f t="shared" si="9"/>
        <v>0.1</v>
      </c>
      <c r="M73" s="39"/>
    </row>
    <row r="74" spans="2:13">
      <c r="B74" s="36"/>
      <c r="D74" t="str">
        <f t="shared" si="8"/>
        <v>Social impact of expropriation</v>
      </c>
      <c r="E74" s="53"/>
      <c r="F74" s="58">
        <f t="shared" si="9"/>
        <v>0.01</v>
      </c>
      <c r="G74" s="58">
        <f t="shared" si="9"/>
        <v>0</v>
      </c>
      <c r="H74" s="58">
        <f t="shared" si="9"/>
        <v>0.01</v>
      </c>
      <c r="I74" s="58">
        <f t="shared" si="9"/>
        <v>0.01</v>
      </c>
      <c r="J74" s="58">
        <f t="shared" si="9"/>
        <v>0.01</v>
      </c>
      <c r="K74" s="58">
        <f t="shared" si="9"/>
        <v>9.433962264150943E-3</v>
      </c>
      <c r="M74" s="39"/>
    </row>
    <row r="75" spans="2:13">
      <c r="B75" s="36"/>
      <c r="D75" t="str">
        <f t="shared" si="8"/>
        <v>Ecological flood  risk</v>
      </c>
      <c r="E75" s="53"/>
      <c r="F75" s="58">
        <f t="shared" si="9"/>
        <v>0.01</v>
      </c>
      <c r="G75" s="58">
        <f t="shared" si="9"/>
        <v>0.01</v>
      </c>
      <c r="H75" s="58">
        <f t="shared" si="9"/>
        <v>0</v>
      </c>
      <c r="I75" s="58">
        <f t="shared" si="9"/>
        <v>5.8823529411764679E-3</v>
      </c>
      <c r="J75" s="58">
        <f t="shared" si="9"/>
        <v>8.4313725490196088E-3</v>
      </c>
      <c r="K75" s="58">
        <f t="shared" si="9"/>
        <v>0.01</v>
      </c>
      <c r="M75" s="39"/>
    </row>
    <row r="76" spans="2:13">
      <c r="B76" s="36"/>
      <c r="D76" t="str">
        <f t="shared" si="8"/>
        <v>Ecosystem service benefits</v>
      </c>
      <c r="E76" s="53"/>
      <c r="F76" s="58">
        <f t="shared" si="9"/>
        <v>0</v>
      </c>
      <c r="G76" s="58">
        <f t="shared" si="9"/>
        <v>0</v>
      </c>
      <c r="H76" s="58">
        <f t="shared" si="9"/>
        <v>0</v>
      </c>
      <c r="I76" s="58">
        <f t="shared" si="9"/>
        <v>5.7035349822942512E-2</v>
      </c>
      <c r="J76" s="58">
        <f t="shared" si="9"/>
        <v>0.11407069964588502</v>
      </c>
      <c r="K76" s="58">
        <f t="shared" si="9"/>
        <v>0</v>
      </c>
      <c r="M76" s="39"/>
    </row>
    <row r="77" spans="2:13">
      <c r="B77" s="36"/>
      <c r="D77" t="str">
        <f t="shared" si="8"/>
        <v>Non-use values</v>
      </c>
      <c r="E77" s="53"/>
      <c r="F77" s="58">
        <f t="shared" si="9"/>
        <v>0</v>
      </c>
      <c r="G77" s="58">
        <f t="shared" si="9"/>
        <v>0</v>
      </c>
      <c r="H77" s="58">
        <f t="shared" si="9"/>
        <v>0</v>
      </c>
      <c r="I77" s="58">
        <f t="shared" si="9"/>
        <v>5.0000000000000001E-3</v>
      </c>
      <c r="J77" s="58">
        <f t="shared" si="9"/>
        <v>0.01</v>
      </c>
      <c r="K77" s="58">
        <f t="shared" si="9"/>
        <v>0</v>
      </c>
      <c r="M77" s="39"/>
    </row>
    <row r="78" spans="2:13">
      <c r="B78" s="36"/>
      <c r="D78" t="str">
        <f t="shared" si="8"/>
        <v>Flood impact to cultural heritage</v>
      </c>
      <c r="E78" s="53"/>
      <c r="F78" s="58">
        <f t="shared" si="9"/>
        <v>0</v>
      </c>
      <c r="G78" s="58">
        <f t="shared" si="9"/>
        <v>7.5139664804469274E-3</v>
      </c>
      <c r="H78" s="58">
        <f t="shared" si="9"/>
        <v>0.01</v>
      </c>
      <c r="I78" s="58">
        <f t="shared" si="9"/>
        <v>5.6145251396648044E-3</v>
      </c>
      <c r="J78" s="58">
        <f t="shared" si="9"/>
        <v>5.0279329608938555E-3</v>
      </c>
      <c r="K78" s="58">
        <f t="shared" si="9"/>
        <v>1.0893854748603351E-3</v>
      </c>
      <c r="M78" s="39"/>
    </row>
    <row r="79" spans="2:13">
      <c r="B79" s="36"/>
      <c r="D79" t="str">
        <f t="shared" si="8"/>
        <v>Impact from removing cultural heritage</v>
      </c>
      <c r="E79" s="53"/>
      <c r="F79" s="58">
        <f t="shared" si="9"/>
        <v>0.01</v>
      </c>
      <c r="G79" s="58">
        <f t="shared" si="9"/>
        <v>0</v>
      </c>
      <c r="H79" s="58">
        <f t="shared" si="9"/>
        <v>0.01</v>
      </c>
      <c r="I79" s="58">
        <f t="shared" si="9"/>
        <v>0.01</v>
      </c>
      <c r="J79" s="58">
        <f t="shared" si="9"/>
        <v>0.01</v>
      </c>
      <c r="K79" s="58">
        <f t="shared" si="9"/>
        <v>0.01</v>
      </c>
      <c r="M79" s="39"/>
    </row>
    <row r="80" spans="2:13">
      <c r="B80" s="36"/>
      <c r="M80" s="39"/>
    </row>
    <row r="81" spans="2:15">
      <c r="B81" s="36"/>
      <c r="D81" s="64" t="s">
        <v>93</v>
      </c>
      <c r="F81" s="65">
        <f>SUM(F69:F79)</f>
        <v>0.35016997449627751</v>
      </c>
      <c r="G81" s="65">
        <f t="shared" ref="G81:K81" si="10">SUM(G69:G79)</f>
        <v>0.43350297466641402</v>
      </c>
      <c r="H81" s="65">
        <f t="shared" si="10"/>
        <v>0.73064621253878648</v>
      </c>
      <c r="I81" s="65">
        <f t="shared" si="10"/>
        <v>0.63571830565491338</v>
      </c>
      <c r="J81" s="65">
        <f t="shared" si="10"/>
        <v>0.65253955004510977</v>
      </c>
      <c r="K81" s="65">
        <f t="shared" si="10"/>
        <v>0.51999230399639751</v>
      </c>
      <c r="M81" s="39"/>
    </row>
    <row r="82" spans="2:15">
      <c r="B82" s="36"/>
      <c r="D82" s="64" t="s">
        <v>102</v>
      </c>
      <c r="F82" s="66">
        <f>RANK(F81,$F81:$K81)</f>
        <v>6</v>
      </c>
      <c r="G82" s="66">
        <f t="shared" ref="G82:K82" si="11">RANK(G81,$F81:$K81)</f>
        <v>5</v>
      </c>
      <c r="H82" s="66">
        <f t="shared" si="11"/>
        <v>1</v>
      </c>
      <c r="I82" s="66">
        <f t="shared" si="11"/>
        <v>3</v>
      </c>
      <c r="J82" s="66">
        <f t="shared" si="11"/>
        <v>2</v>
      </c>
      <c r="K82" s="66">
        <f t="shared" si="11"/>
        <v>4</v>
      </c>
      <c r="M82" s="39"/>
    </row>
    <row r="83" spans="2:15">
      <c r="B83" s="36"/>
      <c r="M83" s="39"/>
    </row>
    <row r="84" spans="2:15">
      <c r="B84" s="36"/>
      <c r="M84" s="39"/>
    </row>
    <row r="85" spans="2:15">
      <c r="B85" s="36"/>
      <c r="M85" s="39"/>
    </row>
    <row r="86" spans="2:15">
      <c r="B86" s="36"/>
      <c r="M86" s="39"/>
    </row>
    <row r="87" spans="2:15">
      <c r="B87" s="36"/>
      <c r="M87" s="39"/>
      <c r="O87" s="40"/>
    </row>
    <row r="88" spans="2:15">
      <c r="B88" s="36"/>
      <c r="M88" s="39"/>
    </row>
    <row r="89" spans="2:15">
      <c r="B89" s="36"/>
      <c r="M89" s="39"/>
    </row>
    <row r="90" spans="2:15">
      <c r="B90" s="36"/>
      <c r="M90" s="39"/>
    </row>
    <row r="91" spans="2:15">
      <c r="B91" s="36"/>
      <c r="M91" s="39"/>
    </row>
    <row r="92" spans="2:15">
      <c r="B92" s="36"/>
      <c r="M92" s="39"/>
    </row>
    <row r="93" spans="2:15">
      <c r="B93" s="36"/>
      <c r="M93" s="39"/>
    </row>
    <row r="94" spans="2:15">
      <c r="B94" s="36"/>
      <c r="M94" s="39"/>
    </row>
    <row r="95" spans="2:15">
      <c r="B95" s="36"/>
      <c r="M95" s="39"/>
    </row>
    <row r="96" spans="2:15">
      <c r="B96" s="36"/>
      <c r="M96" s="39"/>
    </row>
    <row r="97" spans="2:13">
      <c r="B97" s="36"/>
      <c r="M97" s="39"/>
    </row>
    <row r="98" spans="2:13">
      <c r="B98" s="36"/>
      <c r="M98" s="39"/>
    </row>
    <row r="99" spans="2:13">
      <c r="B99" s="36"/>
      <c r="M99" s="39"/>
    </row>
    <row r="100" spans="2:13">
      <c r="B100" s="36"/>
      <c r="M100" s="39"/>
    </row>
    <row r="101" spans="2:13">
      <c r="B101" s="36"/>
      <c r="M101" s="39"/>
    </row>
    <row r="102" spans="2:13">
      <c r="B102" s="36"/>
      <c r="M102" s="39"/>
    </row>
    <row r="103" spans="2:13">
      <c r="B103" s="36"/>
      <c r="M103" s="39"/>
    </row>
    <row r="104" spans="2:13">
      <c r="B104" s="36"/>
      <c r="M104" s="39"/>
    </row>
    <row r="105" spans="2:13">
      <c r="B105" s="36"/>
      <c r="M105" s="39"/>
    </row>
    <row r="106" spans="2:13">
      <c r="B106" s="36"/>
      <c r="M106" s="39"/>
    </row>
    <row r="107" spans="2:13">
      <c r="B107" s="36"/>
      <c r="M107" s="39"/>
    </row>
    <row r="108" spans="2:13">
      <c r="B108" s="36"/>
      <c r="M108" s="39"/>
    </row>
    <row r="109" spans="2:13">
      <c r="B109" s="36"/>
      <c r="M109" s="39"/>
    </row>
    <row r="110" spans="2:13">
      <c r="B110" s="36"/>
      <c r="M110" s="39"/>
    </row>
    <row r="111" spans="2:13">
      <c r="B111" s="36"/>
      <c r="M111" s="39"/>
    </row>
    <row r="112" spans="2:13">
      <c r="B112" s="36"/>
      <c r="M112" s="39"/>
    </row>
    <row r="113" spans="2:13">
      <c r="B113" s="36"/>
      <c r="M113" s="39"/>
    </row>
    <row r="114" spans="2:13">
      <c r="B114" s="36"/>
      <c r="M114" s="39"/>
    </row>
    <row r="115" spans="2:13">
      <c r="B115" s="36"/>
      <c r="M115" s="39"/>
    </row>
    <row r="116" spans="2:13">
      <c r="B116" s="36"/>
      <c r="M116" s="39"/>
    </row>
    <row r="117" spans="2:13">
      <c r="B117" s="36"/>
      <c r="C117" s="36"/>
      <c r="D117" s="36"/>
      <c r="E117" s="37"/>
      <c r="F117" s="37"/>
      <c r="G117" s="38"/>
      <c r="H117" s="38"/>
      <c r="I117" s="38"/>
      <c r="J117" s="38"/>
      <c r="K117" s="38"/>
      <c r="L117" s="36"/>
      <c r="M117" s="3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Decision matrix</vt:lpstr>
      <vt:lpstr>Flood risk assessment</vt:lpstr>
      <vt:lpstr>Cost Benefit Analysis</vt:lpstr>
      <vt:lpstr>MCA 1 - Basic</vt:lpstr>
      <vt:lpstr>MCA 2 - Resident</vt:lpstr>
      <vt:lpstr>MCA 3 - Ecologist</vt:lpstr>
      <vt:lpstr>MCA 4 - Insurer</vt:lpstr>
    </vt:vector>
  </TitlesOfParts>
  <Company>HIVA - K.U.Leuven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LievenD</dc:creator>
  <cp:lastModifiedBy>LievenD</cp:lastModifiedBy>
  <dcterms:created xsi:type="dcterms:W3CDTF">2010-10-15T04:47:40Z</dcterms:created>
  <dcterms:modified xsi:type="dcterms:W3CDTF">2010-10-22T09:20:34Z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1412030221</vt:i4>
  </property>
  <property fmtid="{D5CDD505-2E9C-101B-9397-08002B2CF9AE}" pid="3" name="_NewReviewCycle">
    <vt:lpwstr/>
  </property>
  <property fmtid="{D5CDD505-2E9C-101B-9397-08002B2CF9AE}" pid="4" name="_EmailSubject">
    <vt:lpwstr>Graph 4.1 Vulnerability report</vt:lpwstr>
  </property>
  <property fmtid="{D5CDD505-2E9C-101B-9397-08002B2CF9AE}" pid="5" name="_AuthorEmail">
    <vt:lpwstr>Wouter.Vanneuville@eea.europa.eu</vt:lpwstr>
  </property>
  <property fmtid="{D5CDD505-2E9C-101B-9397-08002B2CF9AE}" pid="6" name="_AuthorEmailDisplayName">
    <vt:lpwstr>Wouter Vanneuville</vt:lpwstr>
  </property>
</Properties>
</file>