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805" tabRatio="883" firstSheet="2" activeTab="2"/>
  </bookViews>
  <sheets>
    <sheet name="Read Me" sheetId="1" r:id="rId1"/>
    <sheet name="Definitions" sheetId="2" r:id="rId2"/>
    <sheet name="BDMotorw" sheetId="3" r:id="rId3"/>
    <sheet name="BDRail" sheetId="4" r:id="rId4"/>
    <sheet name="BDIWW" sheetId="5" r:id="rId5"/>
    <sheet name="BDPipe" sheetId="6" r:id="rId6"/>
    <sheet name="BDLand" sheetId="7" r:id="rId7"/>
    <sheet name="BDLPopul" sheetId="8" r:id="rId8"/>
    <sheet name="BD_HSR" sheetId="9" r:id="rId9"/>
    <sheet name="DExtract1" sheetId="10" r:id="rId10"/>
    <sheet name="DExtract2" sheetId="11" r:id="rId11"/>
    <sheet name="DExtract3" sheetId="12" r:id="rId12"/>
    <sheet name="Figure1" sheetId="13" r:id="rId13"/>
    <sheet name="Figure2" sheetId="14" r:id="rId14"/>
    <sheet name="Figure3" sheetId="15" r:id="rId15"/>
    <sheet name="BDRail_elect" sheetId="16" r:id="rId16"/>
  </sheets>
  <definedNames>
    <definedName name="_xlnm.Print_Area" localSheetId="0">'Read Me'!$A$1:$K$42</definedName>
  </definedNames>
  <calcPr fullCalcOnLoad="1"/>
</workbook>
</file>

<file path=xl/comments3.xml><?xml version="1.0" encoding="utf-8"?>
<comments xmlns="http://schemas.openxmlformats.org/spreadsheetml/2006/main">
  <authors>
    <author>Melanie</author>
  </authors>
  <commentList>
    <comment ref="B4" authorId="0">
      <text>
        <r>
          <rPr>
            <b/>
            <sz val="9"/>
            <rFont val="Tahoma"/>
            <family val="2"/>
          </rPr>
          <t>Melanie:</t>
        </r>
        <r>
          <rPr>
            <sz val="9"/>
            <rFont val="Tahoma"/>
            <family val="2"/>
          </rPr>
          <t xml:space="preserve">
It seems sensible to be able to extrapolate over fairly long time periods as data is not normally that variable year to year...</t>
        </r>
      </text>
    </comment>
  </commentList>
</comments>
</file>

<file path=xl/comments9.xml><?xml version="1.0" encoding="utf-8"?>
<comments xmlns="http://schemas.openxmlformats.org/spreadsheetml/2006/main">
  <authors>
    <author>Melanie</author>
  </authors>
  <commentList>
    <comment ref="AE7" authorId="0">
      <text>
        <r>
          <rPr>
            <b/>
            <sz val="9"/>
            <rFont val="Tahoma"/>
            <family val="2"/>
          </rPr>
          <t>Melanie:</t>
        </r>
        <r>
          <rPr>
            <sz val="9"/>
            <rFont val="Tahoma"/>
            <family val="2"/>
          </rPr>
          <t xml:space="preserve">
What do these figures refer to?? In some cases values are much less than 2007 values..... Is it the km under construction??</t>
        </r>
      </text>
    </comment>
  </commentList>
</comments>
</file>

<file path=xl/sharedStrings.xml><?xml version="1.0" encoding="utf-8"?>
<sst xmlns="http://schemas.openxmlformats.org/spreadsheetml/2006/main" count="2032" uniqueCount="275">
  <si>
    <t>ReadMe</t>
  </si>
  <si>
    <t>The workbook also contains further extracts of data and graphs which provide additional detail on the topic.</t>
  </si>
  <si>
    <t>The workbook tabs are colour coded to help the reader quickly access the appropriate information:</t>
  </si>
  <si>
    <t xml:space="preserve">Read Me </t>
  </si>
  <si>
    <t>Base Data Road</t>
  </si>
  <si>
    <t>Factsheet Data and Chart</t>
  </si>
  <si>
    <t>Past Information</t>
  </si>
  <si>
    <t>Prepared by:</t>
  </si>
  <si>
    <t>Contents of Workbook</t>
  </si>
  <si>
    <t>Name of Worksheet</t>
  </si>
  <si>
    <t>Contents</t>
  </si>
  <si>
    <t>Provides a detailed summary of the information contained in the workbook and lists all of the data sources used.</t>
  </si>
  <si>
    <t>Data Sources</t>
  </si>
  <si>
    <t>The following sources provide all of the data which can be found in TERM18_Base Data.</t>
  </si>
  <si>
    <t xml:space="preserve">Data source: </t>
  </si>
  <si>
    <t>Link:</t>
  </si>
  <si>
    <t>Geos</t>
  </si>
  <si>
    <t>Code</t>
  </si>
  <si>
    <t>Geo</t>
  </si>
  <si>
    <t>Geos Included</t>
  </si>
  <si>
    <t>AT</t>
  </si>
  <si>
    <t>Austria</t>
  </si>
  <si>
    <t>European Union (15 countries) (members before 2004)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</si>
  <si>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</si>
  <si>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</si>
  <si>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</si>
  <si>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</si>
  <si>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</si>
  <si>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</si>
  <si>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</si>
  <si>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</si>
  <si>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</si>
  <si>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 (including ex-GDR from 1991)</t>
  </si>
  <si>
    <t>DK</t>
  </si>
  <si>
    <t>Denmark</t>
  </si>
  <si>
    <t>EE</t>
  </si>
  <si>
    <t>Estonia</t>
  </si>
  <si>
    <t>GR</t>
  </si>
  <si>
    <t>Greece</t>
  </si>
  <si>
    <t>ES</t>
  </si>
  <si>
    <t>Spain</t>
  </si>
  <si>
    <t>FI</t>
  </si>
  <si>
    <t>Finland</t>
  </si>
  <si>
    <t>FR</t>
  </si>
  <si>
    <t>France</t>
  </si>
  <si>
    <t>HR</t>
  </si>
  <si>
    <t>Croatia</t>
  </si>
  <si>
    <t>HU</t>
  </si>
  <si>
    <t>Hungary</t>
  </si>
  <si>
    <t>IE</t>
  </si>
  <si>
    <t>Ireland</t>
  </si>
  <si>
    <t>IS</t>
  </si>
  <si>
    <t>Iceland</t>
  </si>
  <si>
    <t>IT</t>
  </si>
  <si>
    <t>Italy</t>
  </si>
  <si>
    <t>LT</t>
  </si>
  <si>
    <t>Lithunia</t>
  </si>
  <si>
    <t>LU</t>
  </si>
  <si>
    <t>Luxembourg (Grand-Duché)</t>
  </si>
  <si>
    <t>LV</t>
  </si>
  <si>
    <t>Latvia</t>
  </si>
  <si>
    <t>MT</t>
  </si>
  <si>
    <t>Malta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</si>
  <si>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</si>
  <si>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</si>
  <si>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</si>
  <si>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</si>
  <si>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</si>
  <si>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</si>
  <si>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</si>
  <si>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</si>
  <si>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</si>
  <si>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</si>
  <si>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</si>
  <si>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</si>
  <si>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</si>
  <si>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</si>
  <si>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</si>
  <si>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</si>
  <si>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TR</t>
  </si>
  <si>
    <t>Turkey</t>
  </si>
  <si>
    <t>UK</t>
  </si>
  <si>
    <t>United Kingdom</t>
  </si>
  <si>
    <t>Base data other</t>
  </si>
  <si>
    <t>Date of extraction: Tue, 21 Apr 09 03:51:32</t>
  </si>
  <si>
    <t>:</t>
  </si>
  <si>
    <t>-</t>
  </si>
  <si>
    <t>Lithuania</t>
  </si>
  <si>
    <t>r</t>
  </si>
  <si>
    <t>s</t>
  </si>
  <si>
    <t>b</t>
  </si>
  <si>
    <t>Switzerland</t>
  </si>
  <si>
    <t>Break in series</t>
  </si>
  <si>
    <t>Eurostat estimate</t>
  </si>
  <si>
    <t>Revised value</t>
  </si>
  <si>
    <t>Notes:</t>
  </si>
  <si>
    <t>Germany</t>
  </si>
  <si>
    <t>Luxembourg</t>
  </si>
  <si>
    <t>Definitions</t>
  </si>
  <si>
    <t>Readme</t>
  </si>
  <si>
    <t>p</t>
  </si>
  <si>
    <t>Electrified tracks</t>
  </si>
  <si>
    <t>Provisional value</t>
  </si>
  <si>
    <t>non-electified</t>
  </si>
  <si>
    <t>Note:</t>
  </si>
  <si>
    <t>Extracted:</t>
  </si>
  <si>
    <t>Eurostat</t>
  </si>
  <si>
    <t>http://epp.eurostat.ec.europa.eu/portal/page/portal/eurostat/home</t>
  </si>
  <si>
    <t>i</t>
  </si>
  <si>
    <t>See explanatory text</t>
  </si>
  <si>
    <t>Notes</t>
  </si>
  <si>
    <t>%</t>
  </si>
  <si>
    <t>data in blue from 2005 TERM 18</t>
  </si>
  <si>
    <t>data in red show exceptions to speed</t>
  </si>
  <si>
    <t>April, 2009</t>
  </si>
  <si>
    <t>UIC (International Union of Railways) website, last updated on 04 June 2008</t>
  </si>
  <si>
    <t>www.uic.org</t>
  </si>
  <si>
    <t>data in green under "construction"</t>
  </si>
  <si>
    <t>USA</t>
  </si>
  <si>
    <t>China</t>
  </si>
  <si>
    <t>China - Taiwan</t>
  </si>
  <si>
    <t>Japan</t>
  </si>
  <si>
    <t>South Korea</t>
  </si>
  <si>
    <t>EEA under construction</t>
  </si>
  <si>
    <t>Iceland, Malta and Cyprus have no rail</t>
  </si>
  <si>
    <t>Luxemburg and Spain no data</t>
  </si>
  <si>
    <t>Liechtenstein rail is administered by Austria</t>
  </si>
  <si>
    <t>Railway</t>
  </si>
  <si>
    <t>Motorway</t>
  </si>
  <si>
    <t>Inland waterway</t>
  </si>
  <si>
    <t>Pipelines</t>
  </si>
  <si>
    <t>HSR</t>
  </si>
  <si>
    <t>Revised value (Eurostat)</t>
  </si>
  <si>
    <t>Norway is excluded due to data revisions made for the major part of the current decade</t>
  </si>
  <si>
    <t>No data for Liechtenstein, Latvia and Malta have no motorways</t>
  </si>
  <si>
    <t>Source: UIC, 2009</t>
  </si>
  <si>
    <t>Date of extraction: Tue, 21 Jul 09 10:44:06</t>
  </si>
  <si>
    <t>Last update: Fri Dec 19 15:47:16 MET 2003</t>
  </si>
  <si>
    <t>env_la_luq1</t>
  </si>
  <si>
    <t>Land use by main category</t>
  </si>
  <si>
    <t>la_7</t>
  </si>
  <si>
    <t>1990a00</t>
  </si>
  <si>
    <t>1995a00</t>
  </si>
  <si>
    <t>2000a00</t>
  </si>
  <si>
    <t>T</t>
  </si>
  <si>
    <t>Luxembourg (Grand-Duch・</t>
  </si>
  <si>
    <t>la_8</t>
  </si>
  <si>
    <t>Note: for update use different year (the latest)</t>
  </si>
  <si>
    <t>Mpass/km</t>
  </si>
  <si>
    <t>Mtkm/km</t>
  </si>
  <si>
    <t>get data from ITF</t>
  </si>
  <si>
    <t>Ausra Jurkeviciute, TRL, July 2009</t>
  </si>
  <si>
    <t>This workbook contains the data and graphical input for indicator fact sheet TERM 18 - Capacity of transport infrastructure network [2009]</t>
  </si>
  <si>
    <t>EU15</t>
  </si>
  <si>
    <t>CH</t>
  </si>
  <si>
    <t>Total (all)</t>
  </si>
  <si>
    <t>Total (all) relative to 1990 (1990=100)</t>
  </si>
  <si>
    <t>Total EU15</t>
  </si>
  <si>
    <t>Total EU12</t>
  </si>
  <si>
    <t>Change during 15</t>
  </si>
  <si>
    <t>years 1990-2005 (km)</t>
  </si>
  <si>
    <t>Change during 10</t>
  </si>
  <si>
    <t>years 1995-2005 (km)</t>
  </si>
  <si>
    <t>N/A</t>
  </si>
  <si>
    <t>Estimated by TRL</t>
  </si>
  <si>
    <t xml:space="preserve"> Break in series</t>
  </si>
  <si>
    <t xml:space="preserve"> Revised value</t>
  </si>
  <si>
    <t xml:space="preserve"> Eurostat estimate</t>
  </si>
  <si>
    <t>Germany (inc. ex-GDR from 1991)</t>
  </si>
  <si>
    <t>Luxemburg and Spain - no data</t>
  </si>
  <si>
    <t>Total EU10</t>
  </si>
  <si>
    <t>Base data for navigable inland waterways by carrying capacity of vessels. Total network including, canals, rivers and lakes (km).</t>
  </si>
  <si>
    <t>Base data for railway transport - length of tracks (km).</t>
  </si>
  <si>
    <t>Base data for length of motorways (km).</t>
  </si>
  <si>
    <t>Base data for length of pipelines operated (km).</t>
  </si>
  <si>
    <t>Table</t>
  </si>
  <si>
    <t>To be used</t>
  </si>
  <si>
    <t>Base data on land area (additional data on total area are provided, but not used) (km2).</t>
  </si>
  <si>
    <t>Contains Base Data on land area (additional data on total area are provided, but not used), km2.</t>
  </si>
  <si>
    <t>Provides a glossary of all of the abbreviations which can be found in the workbook.</t>
  </si>
  <si>
    <t>Contains Base Data for length of motorways, km.</t>
  </si>
  <si>
    <t>Contains Base Data for Railway transport - length of tracks, km.</t>
  </si>
  <si>
    <t>Contains Base Data for Navigable inland waterways by carrying capacity of vessels, total network including, canals, rivers and lakes, km.</t>
  </si>
  <si>
    <t>Contains Base Data for Length of pipelines operated, km.</t>
  </si>
  <si>
    <t>Contains Base Data on Population, absolute numbers and crude rates, January 1.</t>
  </si>
  <si>
    <t>Contains Base Data on High speed rail lines, updated in 2008, Lines or sections of lines in which operation V&gt;250 km/h.</t>
  </si>
  <si>
    <t>Contains data extract for Figure 1.</t>
  </si>
  <si>
    <t>Contains data extract for Table 1 in the TERM18 indicator sheet (2005).</t>
  </si>
  <si>
    <t>Contains data extract for Figure 3.</t>
  </si>
  <si>
    <t>Contains Figure 1: Length of transport infrastructure in EEA-32.</t>
  </si>
  <si>
    <t>Contains Figure 2: Length of HSR in Europe and the World (2008).</t>
  </si>
  <si>
    <t>Contains Figure 3: Intensity of the use of railways for passenger and freight transport by country (2005).</t>
  </si>
  <si>
    <t>Contains Base Data for railway transport electrified and non-electrified tracks, km.</t>
  </si>
  <si>
    <t>Base data on Population, absolute numbers and crude rates, January 1.</t>
  </si>
  <si>
    <t>BDMotorw</t>
  </si>
  <si>
    <t>BDRail</t>
  </si>
  <si>
    <t>BDIWW</t>
  </si>
  <si>
    <t>BDPipe</t>
  </si>
  <si>
    <t>BDLand</t>
  </si>
  <si>
    <t>BDPopulation</t>
  </si>
  <si>
    <t>BD_HSR</t>
  </si>
  <si>
    <t>DataExtract1</t>
  </si>
  <si>
    <t>DataExtract2</t>
  </si>
  <si>
    <t>DataExtract3</t>
  </si>
  <si>
    <t>Figure 1</t>
  </si>
  <si>
    <t>Figure 2</t>
  </si>
  <si>
    <t>Figure 3</t>
  </si>
  <si>
    <t>BDRail_elect</t>
  </si>
  <si>
    <t>EEA32 total</t>
  </si>
  <si>
    <t>Change</t>
  </si>
  <si>
    <t>2000-2008</t>
  </si>
  <si>
    <t>Data for Figure 1</t>
  </si>
  <si>
    <t>Inhabitants</t>
  </si>
  <si>
    <t>Data for 20005</t>
  </si>
  <si>
    <t>Data for Figure 3</t>
  </si>
  <si>
    <t>Data for Table 1 in the TERM18 fact sheet (2005).</t>
  </si>
  <si>
    <t>Rail length (km)</t>
  </si>
  <si>
    <t>Estimate (TRL), to update use the latest data available on demand and rail length</t>
  </si>
  <si>
    <t>Total</t>
  </si>
  <si>
    <t>Passenger</t>
  </si>
  <si>
    <t>Freight</t>
  </si>
  <si>
    <t>Land cover (km2)</t>
  </si>
  <si>
    <t>Motorway (km)</t>
  </si>
  <si>
    <t>Motorway length per unit area (km per 1000 km2)</t>
  </si>
  <si>
    <t>Motorway length per 1,000 inhabitants (km)</t>
  </si>
  <si>
    <t>Railway (km)</t>
  </si>
  <si>
    <t>Railway length per unit area (km per 1000 km2)</t>
  </si>
  <si>
    <t>Railway length per 1,000 inhabitants (km)</t>
  </si>
  <si>
    <t>Population density (people per km2)</t>
  </si>
  <si>
    <t>High speed rail lines, updated in 2008, Lines or sections of lines in which operation V&gt;250 km/h. Used in Figure 2.</t>
  </si>
  <si>
    <t>EEA32</t>
  </si>
  <si>
    <t>EU27</t>
  </si>
  <si>
    <t>Y</t>
  </si>
  <si>
    <t>N</t>
  </si>
  <si>
    <t>Count</t>
  </si>
  <si>
    <t>Total (EEA32 excluding LI)</t>
  </si>
  <si>
    <t>Checks:</t>
  </si>
  <si>
    <t>EEA32 (excl LI)</t>
  </si>
  <si>
    <t>EU12</t>
  </si>
  <si>
    <t>Extrapolated by Aether</t>
  </si>
  <si>
    <t>Comment - why is a total shown for the EU10 rather than the EU15?</t>
  </si>
  <si>
    <t>EEA32 (excl LI) (relative to 1990)</t>
  </si>
  <si>
    <t>Change relative to 1990</t>
  </si>
  <si>
    <t>Check</t>
  </si>
  <si>
    <t>% change between 1995 and 2005</t>
  </si>
  <si>
    <t>Data for Iceland has been deleted as there was only information for 2005, which was 11 kilometres</t>
  </si>
  <si>
    <t>years 1995 -2005 (km)</t>
  </si>
  <si>
    <t>1995 to 2005</t>
  </si>
  <si>
    <t>Data not included in analysis but shown here for completeness:</t>
  </si>
  <si>
    <t>Data for Luxembourg has been deleted as no rail data was available</t>
  </si>
  <si>
    <t>Data for Spain has been delted as no rail data is available</t>
  </si>
  <si>
    <t>Data for Luxembourg and Spain has been deleted as there is no rail data for these countries</t>
  </si>
  <si>
    <t>Data for Luxembourg has not been included due to no rail data being available</t>
  </si>
  <si>
    <t>Spain is excluded due to no rail data being available</t>
  </si>
  <si>
    <t>Data for Iceland has been deleted as only one data point.</t>
  </si>
  <si>
    <t>Land in EU15</t>
  </si>
  <si>
    <t>Land in EU12</t>
  </si>
  <si>
    <t>check</t>
  </si>
  <si>
    <t>Motorway density</t>
  </si>
  <si>
    <t>Population density</t>
  </si>
  <si>
    <t>Population in EU15</t>
  </si>
  <si>
    <t>Population in EU12</t>
  </si>
  <si>
    <t>---&gt; data for Iceland has been deleted due to no motorway data being available</t>
  </si>
  <si>
    <t>---&gt; data for Luxembourg has been deleted due to it not being used in the motorway analysis</t>
  </si>
  <si>
    <t>---&gt; data for Spain has been deleted due to it not being used in the motorway analysis</t>
  </si>
  <si>
    <t>For population density, see BDLand sheet</t>
  </si>
  <si>
    <t>Units??</t>
  </si>
  <si>
    <t>Source of information?</t>
  </si>
  <si>
    <t>TOTAL</t>
  </si>
  <si>
    <t>Note data has only been gapfilled from 1999 onwards</t>
  </si>
  <si>
    <t>Gap filled data</t>
  </si>
  <si>
    <t>Km/1000 km2 of land area</t>
  </si>
  <si>
    <t>inhabitants/1000 km2 of land area</t>
  </si>
  <si>
    <t>Data for 2005</t>
  </si>
  <si>
    <t>land cover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</si>
</sst>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\ ##0"/>
    <numFmt numFmtId="169" formatCode="_-* #,##0.0_-;\-* #,##0.0_-;_-* &quot;-&quot;??_-;_-@_-"/>
    <numFmt numFmtId="170" formatCode="_-* #,##0_-;\-* #,##0_-;_-* &quot;-&quot;??_-;_-@_-"/>
    <numFmt numFmtId="171" formatCode="#,##0_ ;\-#,##0\ 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_-* #,##0.00000000_-;\-* #,##0.00000000_-;_-* &quot;-&quot;??_-;_-@_-"/>
    <numFmt numFmtId="186" formatCode="_-* #,##0.000000000_-;\-* #,##0.000000000_-;_-* &quot;-&quot;??_-;_-@_-"/>
    <numFmt numFmtId="187" formatCode="_-* #,##0.0000000000_-;\-* #,##0.0000000000_-;_-* &quot;-&quot;??_-;_-@_-"/>
    <numFmt numFmtId="188" formatCode="_-* #,##0.00000000000_-;\-* #,##0.00000000000_-;_-* &quot;-&quot;??_-;_-@_-"/>
    <numFmt numFmtId="189" formatCode="0.0%"/>
    <numFmt numFmtId="190" formatCode="0.000%"/>
  </numFmts>
  <fonts count="89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8.5"/>
      <color indexed="20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b/>
      <sz val="11"/>
      <color indexed="56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40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7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u val="single"/>
      <sz val="8.5"/>
      <color theme="11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3" tint="0.39998000860214233"/>
      <name val="Arial"/>
      <family val="2"/>
    </font>
    <font>
      <b/>
      <sz val="11"/>
      <color rgb="FF00206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i/>
      <sz val="8"/>
      <color rgb="FF00206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00B0F0"/>
      <name val="Arial"/>
      <family val="2"/>
    </font>
    <font>
      <sz val="8"/>
      <color theme="9" tint="-0.24997000396251678"/>
      <name val="Arial"/>
      <family val="2"/>
    </font>
    <font>
      <b/>
      <sz val="8"/>
      <color theme="9" tint="-0.24997000396251678"/>
      <name val="Arial"/>
      <family val="2"/>
    </font>
    <font>
      <b/>
      <i/>
      <sz val="8"/>
      <color rgb="FF00B050"/>
      <name val="Arial"/>
      <family val="2"/>
    </font>
    <font>
      <b/>
      <sz val="8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5" fillId="0" borderId="0" xfId="0" applyFont="1" applyAlignment="1">
      <alignment/>
    </xf>
    <xf numFmtId="0" fontId="67" fillId="33" borderId="0" xfId="0" applyFont="1" applyFill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2" fontId="69" fillId="0" borderId="0" xfId="0" applyNumberFormat="1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" fontId="70" fillId="0" borderId="0" xfId="0" applyNumberFormat="1" applyFont="1" applyAlignment="1">
      <alignment/>
    </xf>
    <xf numFmtId="2" fontId="70" fillId="0" borderId="0" xfId="0" applyNumberFormat="1" applyFont="1" applyAlignment="1">
      <alignment/>
    </xf>
    <xf numFmtId="2" fontId="72" fillId="0" borderId="0" xfId="0" applyNumberFormat="1" applyFont="1" applyAlignment="1">
      <alignment/>
    </xf>
    <xf numFmtId="2" fontId="71" fillId="0" borderId="0" xfId="0" applyNumberFormat="1" applyFont="1" applyAlignment="1">
      <alignment/>
    </xf>
    <xf numFmtId="168" fontId="73" fillId="0" borderId="0" xfId="0" applyNumberFormat="1" applyFont="1" applyAlignment="1">
      <alignment vertical="center"/>
    </xf>
    <xf numFmtId="0" fontId="70" fillId="38" borderId="0" xfId="0" applyFont="1" applyFill="1" applyAlignment="1">
      <alignment/>
    </xf>
    <xf numFmtId="0" fontId="70" fillId="0" borderId="0" xfId="0" applyFont="1" applyAlignment="1">
      <alignment horizontal="center" vertical="center"/>
    </xf>
    <xf numFmtId="1" fontId="74" fillId="0" borderId="0" xfId="0" applyNumberFormat="1" applyFont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170" fontId="74" fillId="0" borderId="0" xfId="42" applyNumberFormat="1" applyFont="1" applyAlignment="1">
      <alignment/>
    </xf>
    <xf numFmtId="0" fontId="69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77" fillId="0" borderId="0" xfId="0" applyFont="1" applyAlignment="1">
      <alignment/>
    </xf>
    <xf numFmtId="170" fontId="69" fillId="0" borderId="0" xfId="42" applyNumberFormat="1" applyFont="1" applyAlignment="1">
      <alignment/>
    </xf>
    <xf numFmtId="170" fontId="71" fillId="0" borderId="0" xfId="42" applyNumberFormat="1" applyFont="1" applyAlignment="1">
      <alignment/>
    </xf>
    <xf numFmtId="170" fontId="72" fillId="0" borderId="0" xfId="42" applyNumberFormat="1" applyFont="1" applyAlignment="1">
      <alignment/>
    </xf>
    <xf numFmtId="171" fontId="77" fillId="0" borderId="0" xfId="42" applyNumberFormat="1" applyFont="1" applyAlignment="1">
      <alignment horizontal="right"/>
    </xf>
    <xf numFmtId="1" fontId="76" fillId="0" borderId="0" xfId="0" applyNumberFormat="1" applyFont="1" applyAlignment="1">
      <alignment/>
    </xf>
    <xf numFmtId="170" fontId="78" fillId="0" borderId="0" xfId="42" applyNumberFormat="1" applyFont="1" applyAlignment="1">
      <alignment/>
    </xf>
    <xf numFmtId="2" fontId="76" fillId="0" borderId="0" xfId="0" applyNumberFormat="1" applyFont="1" applyAlignment="1">
      <alignment horizontal="center"/>
    </xf>
    <xf numFmtId="171" fontId="77" fillId="0" borderId="0" xfId="42" applyNumberFormat="1" applyFont="1" applyAlignment="1">
      <alignment/>
    </xf>
    <xf numFmtId="2" fontId="77" fillId="0" borderId="0" xfId="0" applyNumberFormat="1" applyFont="1" applyAlignment="1">
      <alignment/>
    </xf>
    <xf numFmtId="172" fontId="77" fillId="0" borderId="0" xfId="0" applyNumberFormat="1" applyFont="1" applyAlignment="1">
      <alignment/>
    </xf>
    <xf numFmtId="172" fontId="71" fillId="0" borderId="0" xfId="0" applyNumberFormat="1" applyFont="1" applyAlignment="1">
      <alignment horizontal="right"/>
    </xf>
    <xf numFmtId="0" fontId="72" fillId="0" borderId="0" xfId="0" applyFont="1" applyAlignment="1">
      <alignment horizontal="right"/>
    </xf>
    <xf numFmtId="170" fontId="69" fillId="0" borderId="0" xfId="42" applyNumberFormat="1" applyFont="1" applyAlignment="1">
      <alignment horizontal="right"/>
    </xf>
    <xf numFmtId="170" fontId="70" fillId="0" borderId="0" xfId="42" applyNumberFormat="1" applyFont="1" applyAlignment="1">
      <alignment/>
    </xf>
    <xf numFmtId="2" fontId="74" fillId="0" borderId="0" xfId="0" applyNumberFormat="1" applyFont="1" applyAlignment="1">
      <alignment/>
    </xf>
    <xf numFmtId="3" fontId="78" fillId="0" borderId="0" xfId="42" applyNumberFormat="1" applyFont="1" applyAlignment="1">
      <alignment/>
    </xf>
    <xf numFmtId="3" fontId="78" fillId="0" borderId="0" xfId="0" applyNumberFormat="1" applyFont="1" applyAlignment="1">
      <alignment/>
    </xf>
    <xf numFmtId="172" fontId="78" fillId="0" borderId="0" xfId="0" applyNumberFormat="1" applyFont="1" applyAlignment="1">
      <alignment/>
    </xf>
    <xf numFmtId="3" fontId="77" fillId="0" borderId="0" xfId="0" applyNumberFormat="1" applyFont="1" applyAlignment="1">
      <alignment/>
    </xf>
    <xf numFmtId="2" fontId="76" fillId="0" borderId="0" xfId="0" applyNumberFormat="1" applyFont="1" applyAlignment="1">
      <alignment/>
    </xf>
    <xf numFmtId="180" fontId="74" fillId="0" borderId="0" xfId="42" applyNumberFormat="1" applyFont="1" applyAlignment="1">
      <alignment/>
    </xf>
    <xf numFmtId="0" fontId="69" fillId="39" borderId="0" xfId="0" applyFont="1" applyFill="1" applyAlignment="1">
      <alignment/>
    </xf>
    <xf numFmtId="3" fontId="69" fillId="0" borderId="0" xfId="0" applyNumberFormat="1" applyFont="1" applyAlignment="1">
      <alignment horizontal="right"/>
    </xf>
    <xf numFmtId="3" fontId="71" fillId="0" borderId="0" xfId="0" applyNumberFormat="1" applyFont="1" applyAlignment="1">
      <alignment horizontal="right"/>
    </xf>
    <xf numFmtId="3" fontId="70" fillId="0" borderId="0" xfId="0" applyNumberFormat="1" applyFont="1" applyAlignment="1">
      <alignment horizontal="right"/>
    </xf>
    <xf numFmtId="179" fontId="77" fillId="0" borderId="0" xfId="0" applyNumberFormat="1" applyFont="1" applyAlignment="1">
      <alignment/>
    </xf>
    <xf numFmtId="3" fontId="74" fillId="0" borderId="0" xfId="0" applyNumberFormat="1" applyFont="1" applyAlignment="1">
      <alignment horizontal="right"/>
    </xf>
    <xf numFmtId="179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0" fillId="38" borderId="0" xfId="0" applyFont="1" applyFill="1" applyAlignment="1">
      <alignment horizontal="center" vertical="center"/>
    </xf>
    <xf numFmtId="0" fontId="69" fillId="0" borderId="0" xfId="0" applyFont="1" applyAlignment="1">
      <alignment/>
    </xf>
    <xf numFmtId="170" fontId="69" fillId="0" borderId="0" xfId="42" applyNumberFormat="1" applyFont="1" applyAlignment="1">
      <alignment horizontal="right"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38" borderId="0" xfId="0" applyFont="1" applyFill="1" applyAlignment="1">
      <alignment/>
    </xf>
    <xf numFmtId="0" fontId="84" fillId="0" borderId="0" xfId="0" applyFont="1" applyAlignment="1">
      <alignment/>
    </xf>
    <xf numFmtId="0" fontId="83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5" fillId="0" borderId="0" xfId="0" applyFont="1" applyAlignment="1">
      <alignment/>
    </xf>
    <xf numFmtId="0" fontId="70" fillId="0" borderId="0" xfId="0" applyNumberFormat="1" applyFont="1" applyAlignment="1">
      <alignment vertical="top" wrapText="1"/>
    </xf>
    <xf numFmtId="1" fontId="69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70" fillId="38" borderId="0" xfId="0" applyNumberFormat="1" applyFont="1" applyFill="1" applyAlignment="1">
      <alignment horizontal="center" vertical="center" wrapText="1"/>
    </xf>
    <xf numFmtId="170" fontId="71" fillId="0" borderId="0" xfId="42" applyNumberFormat="1" applyFont="1" applyAlignment="1">
      <alignment horizontal="right"/>
    </xf>
    <xf numFmtId="2" fontId="70" fillId="38" borderId="0" xfId="0" applyNumberFormat="1" applyFont="1" applyFill="1" applyAlignment="1">
      <alignment horizontal="center" vertical="center"/>
    </xf>
    <xf numFmtId="0" fontId="4" fillId="0" borderId="0" xfId="0" applyFont="1" applyAlignment="1">
      <alignment/>
    </xf>
    <xf numFmtId="178" fontId="69" fillId="0" borderId="0" xfId="0" applyNumberFormat="1" applyFont="1" applyAlignment="1">
      <alignment/>
    </xf>
    <xf numFmtId="177" fontId="69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180" fontId="69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0" fontId="69" fillId="40" borderId="0" xfId="42" applyNumberFormat="1" applyFont="1" applyFill="1" applyAlignment="1">
      <alignment horizontal="right"/>
    </xf>
    <xf numFmtId="170" fontId="69" fillId="40" borderId="0" xfId="42" applyNumberFormat="1" applyFont="1" applyFill="1" applyAlignment="1">
      <alignment/>
    </xf>
    <xf numFmtId="0" fontId="69" fillId="40" borderId="0" xfId="0" applyFont="1" applyFill="1" applyAlignment="1">
      <alignment/>
    </xf>
    <xf numFmtId="170" fontId="5" fillId="0" borderId="0" xfId="42" applyNumberFormat="1" applyFont="1" applyAlignment="1">
      <alignment/>
    </xf>
    <xf numFmtId="0" fontId="69" fillId="9" borderId="0" xfId="0" applyFont="1" applyFill="1" applyAlignment="1">
      <alignment/>
    </xf>
    <xf numFmtId="170" fontId="69" fillId="40" borderId="0" xfId="42" applyNumberFormat="1" applyFont="1" applyFill="1" applyAlignment="1">
      <alignment horizontal="right" vertical="center"/>
    </xf>
    <xf numFmtId="170" fontId="69" fillId="0" borderId="0" xfId="0" applyNumberFormat="1" applyFont="1" applyAlignment="1">
      <alignment/>
    </xf>
    <xf numFmtId="170" fontId="5" fillId="40" borderId="0" xfId="42" applyNumberFormat="1" applyFont="1" applyFill="1" applyAlignment="1">
      <alignment/>
    </xf>
    <xf numFmtId="0" fontId="69" fillId="0" borderId="0" xfId="0" applyFont="1" applyFill="1" applyAlignment="1">
      <alignment/>
    </xf>
    <xf numFmtId="178" fontId="76" fillId="0" borderId="0" xfId="0" applyNumberFormat="1" applyFont="1" applyAlignment="1">
      <alignment/>
    </xf>
    <xf numFmtId="9" fontId="69" fillId="0" borderId="0" xfId="59" applyNumberFormat="1" applyFont="1" applyAlignment="1">
      <alignment/>
    </xf>
    <xf numFmtId="0" fontId="76" fillId="0" borderId="0" xfId="0" applyFont="1" applyAlignment="1">
      <alignment horizontal="left"/>
    </xf>
    <xf numFmtId="170" fontId="70" fillId="0" borderId="0" xfId="0" applyNumberFormat="1" applyFont="1" applyAlignment="1">
      <alignment/>
    </xf>
    <xf numFmtId="0" fontId="69" fillId="0" borderId="0" xfId="0" applyFont="1" applyAlignment="1">
      <alignment horizontal="left"/>
    </xf>
    <xf numFmtId="171" fontId="69" fillId="0" borderId="0" xfId="0" applyNumberFormat="1" applyFont="1" applyAlignment="1">
      <alignment/>
    </xf>
    <xf numFmtId="172" fontId="69" fillId="0" borderId="0" xfId="59" applyNumberFormat="1" applyFont="1" applyAlignment="1">
      <alignment/>
    </xf>
    <xf numFmtId="171" fontId="70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172" fontId="69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189" fontId="69" fillId="0" borderId="0" xfId="59" applyNumberFormat="1" applyFont="1" applyAlignment="1">
      <alignment/>
    </xf>
    <xf numFmtId="0" fontId="69" fillId="0" borderId="0" xfId="0" applyFont="1" applyAlignment="1" quotePrefix="1">
      <alignment/>
    </xf>
    <xf numFmtId="0" fontId="0" fillId="39" borderId="0" xfId="0" applyFill="1" applyAlignment="1">
      <alignment/>
    </xf>
    <xf numFmtId="9" fontId="65" fillId="0" borderId="0" xfId="59" applyFont="1" applyAlignment="1">
      <alignment/>
    </xf>
    <xf numFmtId="0" fontId="0" fillId="40" borderId="0" xfId="0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40" borderId="0" xfId="0" applyNumberFormat="1" applyFill="1" applyAlignment="1">
      <alignment/>
    </xf>
    <xf numFmtId="0" fontId="0" fillId="11" borderId="0" xfId="0" applyFill="1" applyAlignment="1">
      <alignment/>
    </xf>
    <xf numFmtId="0" fontId="0" fillId="40" borderId="0" xfId="0" applyFont="1" applyFill="1" applyAlignment="1">
      <alignment/>
    </xf>
    <xf numFmtId="0" fontId="69" fillId="41" borderId="0" xfId="0" applyFont="1" applyFill="1" applyAlignment="1">
      <alignment/>
    </xf>
    <xf numFmtId="180" fontId="69" fillId="41" borderId="0" xfId="0" applyNumberFormat="1" applyFont="1" applyFill="1" applyAlignment="1">
      <alignment/>
    </xf>
    <xf numFmtId="172" fontId="69" fillId="41" borderId="0" xfId="0" applyNumberFormat="1" applyFont="1" applyFill="1" applyAlignment="1">
      <alignment/>
    </xf>
    <xf numFmtId="0" fontId="70" fillId="0" borderId="0" xfId="0" applyNumberFormat="1" applyFont="1" applyFill="1" applyAlignment="1">
      <alignment horizontal="center" vertical="center" wrapText="1"/>
    </xf>
    <xf numFmtId="180" fontId="69" fillId="0" borderId="0" xfId="42" applyNumberFormat="1" applyFont="1" applyAlignment="1">
      <alignment horizontal="right"/>
    </xf>
    <xf numFmtId="181" fontId="69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chartsheet" Target="chartsheets/sheet2.xml" /><Relationship Id="rId15" Type="http://schemas.openxmlformats.org/officeDocument/2006/relationships/chartsheet" Target="chartsheets/sheet3.xml" /><Relationship Id="rId16" Type="http://schemas.openxmlformats.org/officeDocument/2006/relationships/worksheet" Target="worksheets/sheet1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3675"/>
          <c:w val="0.7675"/>
          <c:h val="0.931"/>
        </c:manualLayout>
      </c:layout>
      <c:barChart>
        <c:barDir val="col"/>
        <c:grouping val="stacked"/>
        <c:varyColors val="0"/>
        <c:ser>
          <c:idx val="4"/>
          <c:order val="4"/>
          <c:tx>
            <c:strRef>
              <c:f>DExtract1!$A$12</c:f>
              <c:strCache>
                <c:ptCount val="1"/>
                <c:pt idx="0">
                  <c:v>HSR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DExtract1!$B$7:$T$7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DExtract1!$B$12:$T$12</c:f>
              <c:numCache>
                <c:ptCount val="19"/>
                <c:pt idx="0">
                  <c:v>1024</c:v>
                </c:pt>
                <c:pt idx="1">
                  <c:v>1133</c:v>
                </c:pt>
                <c:pt idx="2">
                  <c:v>1628</c:v>
                </c:pt>
                <c:pt idx="3">
                  <c:v>1628</c:v>
                </c:pt>
                <c:pt idx="4">
                  <c:v>1997</c:v>
                </c:pt>
                <c:pt idx="5">
                  <c:v>1997</c:v>
                </c:pt>
                <c:pt idx="6">
                  <c:v>2447</c:v>
                </c:pt>
                <c:pt idx="7">
                  <c:v>2519</c:v>
                </c:pt>
                <c:pt idx="8">
                  <c:v>2708</c:v>
                </c:pt>
                <c:pt idx="9">
                  <c:v>2708</c:v>
                </c:pt>
                <c:pt idx="10">
                  <c:v>2708</c:v>
                </c:pt>
                <c:pt idx="11">
                  <c:v>2967</c:v>
                </c:pt>
                <c:pt idx="12">
                  <c:v>3032</c:v>
                </c:pt>
                <c:pt idx="13">
                  <c:v>3746</c:v>
                </c:pt>
                <c:pt idx="14">
                  <c:v>4264</c:v>
                </c:pt>
                <c:pt idx="15">
                  <c:v>4285</c:v>
                </c:pt>
                <c:pt idx="16">
                  <c:v>4870</c:v>
                </c:pt>
                <c:pt idx="17">
                  <c:v>5510</c:v>
                </c:pt>
                <c:pt idx="18">
                  <c:v>5598</c:v>
                </c:pt>
              </c:numCache>
            </c:numRef>
          </c:val>
        </c:ser>
        <c:overlap val="100"/>
        <c:axId val="43601412"/>
        <c:axId val="56868389"/>
      </c:barChart>
      <c:lineChart>
        <c:grouping val="standard"/>
        <c:varyColors val="0"/>
        <c:ser>
          <c:idx val="0"/>
          <c:order val="0"/>
          <c:tx>
            <c:strRef>
              <c:f>DExtract1!$A$8</c:f>
              <c:strCache>
                <c:ptCount val="1"/>
                <c:pt idx="0">
                  <c:v>Motorway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DExtract1!$B$7:$T$7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DExtract1!$B$8:$T$8</c:f>
              <c:numCache>
                <c:ptCount val="19"/>
                <c:pt idx="0">
                  <c:v>100</c:v>
                </c:pt>
                <c:pt idx="1">
                  <c:v>103.23017962822952</c:v>
                </c:pt>
                <c:pt idx="2">
                  <c:v>106.46557342857888</c:v>
                </c:pt>
                <c:pt idx="3">
                  <c:v>109.07265948848972</c:v>
                </c:pt>
                <c:pt idx="4">
                  <c:v>109.95646166279948</c:v>
                </c:pt>
                <c:pt idx="5">
                  <c:v>113.4590817842897</c:v>
                </c:pt>
                <c:pt idx="6">
                  <c:v>116.05052532784107</c:v>
                </c:pt>
                <c:pt idx="7">
                  <c:v>117.96386578720964</c:v>
                </c:pt>
                <c:pt idx="8">
                  <c:v>122.06637641108533</c:v>
                </c:pt>
                <c:pt idx="9">
                  <c:v>124.52746565164117</c:v>
                </c:pt>
                <c:pt idx="10">
                  <c:v>126.2457960737284</c:v>
                </c:pt>
                <c:pt idx="11">
                  <c:v>128.60755533540163</c:v>
                </c:pt>
                <c:pt idx="12">
                  <c:v>130.88719138618762</c:v>
                </c:pt>
                <c:pt idx="13">
                  <c:v>131.9643376697865</c:v>
                </c:pt>
                <c:pt idx="14">
                  <c:v>134.02116953880648</c:v>
                </c:pt>
                <c:pt idx="15">
                  <c:v>136.2512709544542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DExtract1!$A$9</c:f>
              <c:strCache>
                <c:ptCount val="1"/>
                <c:pt idx="0">
                  <c:v>Railway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DExtract1!$B$7:$T$7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DExtract1!$B$9:$T$9</c:f>
              <c:numCache>
                <c:ptCount val="19"/>
                <c:pt idx="0">
                  <c:v>100</c:v>
                </c:pt>
                <c:pt idx="1">
                  <c:v>99.78147820454963</c:v>
                </c:pt>
                <c:pt idx="2">
                  <c:v>98.7317340963704</c:v>
                </c:pt>
                <c:pt idx="3">
                  <c:v>96.79480167429925</c:v>
                </c:pt>
                <c:pt idx="4">
                  <c:v>95.3069455333789</c:v>
                </c:pt>
                <c:pt idx="5">
                  <c:v>94.02812240680262</c:v>
                </c:pt>
                <c:pt idx="6">
                  <c:v>95.60097055221654</c:v>
                </c:pt>
                <c:pt idx="7">
                  <c:v>94.31115773813916</c:v>
                </c:pt>
                <c:pt idx="8">
                  <c:v>93.5347057892758</c:v>
                </c:pt>
                <c:pt idx="9">
                  <c:v>92.68249622611079</c:v>
                </c:pt>
                <c:pt idx="10">
                  <c:v>91.59456804168347</c:v>
                </c:pt>
                <c:pt idx="11">
                  <c:v>91.31115112397538</c:v>
                </c:pt>
                <c:pt idx="12">
                  <c:v>90.97632180247156</c:v>
                </c:pt>
                <c:pt idx="13">
                  <c:v>90.28554871357056</c:v>
                </c:pt>
                <c:pt idx="14">
                  <c:v>89.58238678713943</c:v>
                </c:pt>
                <c:pt idx="15">
                  <c:v>90.25392792291345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DExtract1!$A$10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DExtract1!$B$7:$T$7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DExtract1!$B$10:$T$10</c:f>
              <c:numCache>
                <c:ptCount val="19"/>
                <c:pt idx="0">
                  <c:v>100</c:v>
                </c:pt>
                <c:pt idx="1">
                  <c:v>106.24788335567479</c:v>
                </c:pt>
                <c:pt idx="2">
                  <c:v>105.60661255783349</c:v>
                </c:pt>
                <c:pt idx="3">
                  <c:v>100.04635692514515</c:v>
                </c:pt>
                <c:pt idx="4">
                  <c:v>99.9253138428217</c:v>
                </c:pt>
                <c:pt idx="5">
                  <c:v>97.25154941583834</c:v>
                </c:pt>
                <c:pt idx="6">
                  <c:v>96.33728783658667</c:v>
                </c:pt>
                <c:pt idx="7">
                  <c:v>96.88854893810449</c:v>
                </c:pt>
                <c:pt idx="8">
                  <c:v>100.19688816263039</c:v>
                </c:pt>
                <c:pt idx="9">
                  <c:v>99.97540507582576</c:v>
                </c:pt>
                <c:pt idx="10">
                  <c:v>100.55151863999085</c:v>
                </c:pt>
                <c:pt idx="11">
                  <c:v>99.40882043516275</c:v>
                </c:pt>
                <c:pt idx="12">
                  <c:v>99.17574811707183</c:v>
                </c:pt>
                <c:pt idx="13">
                  <c:v>98.54349116578652</c:v>
                </c:pt>
                <c:pt idx="14">
                  <c:v>105.22403915614943</c:v>
                </c:pt>
                <c:pt idx="15">
                  <c:v>106.70488537606411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DExtract1!$A$11</c:f>
              <c:strCache>
                <c:ptCount val="1"/>
                <c:pt idx="0">
                  <c:v>Pipelines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DExtract1!$B$7:$T$7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DExtract1!$B$11:$T$11</c:f>
              <c:numCache>
                <c:ptCount val="19"/>
                <c:pt idx="0">
                  <c:v>100</c:v>
                </c:pt>
                <c:pt idx="1">
                  <c:v>104.99964741555603</c:v>
                </c:pt>
                <c:pt idx="2">
                  <c:v>105.96925463648545</c:v>
                </c:pt>
                <c:pt idx="3">
                  <c:v>101.04012410972427</c:v>
                </c:pt>
                <c:pt idx="4">
                  <c:v>98.34637895776038</c:v>
                </c:pt>
                <c:pt idx="5">
                  <c:v>100.57471264367815</c:v>
                </c:pt>
                <c:pt idx="6">
                  <c:v>104.54833932726888</c:v>
                </c:pt>
                <c:pt idx="7">
                  <c:v>107.7074959452789</c:v>
                </c:pt>
                <c:pt idx="8">
                  <c:v>108.1059163669699</c:v>
                </c:pt>
                <c:pt idx="9">
                  <c:v>111.95261265072985</c:v>
                </c:pt>
                <c:pt idx="10">
                  <c:v>111.79042380650166</c:v>
                </c:pt>
                <c:pt idx="11">
                  <c:v>113.33121782666949</c:v>
                </c:pt>
                <c:pt idx="12">
                  <c:v>112.98568507157464</c:v>
                </c:pt>
                <c:pt idx="13">
                  <c:v>112.86580636062337</c:v>
                </c:pt>
                <c:pt idx="14">
                  <c:v>113.7719483816374</c:v>
                </c:pt>
                <c:pt idx="15">
                  <c:v>115.53487060150906</c:v>
                </c:pt>
              </c:numCache>
            </c:numRef>
          </c:val>
          <c:smooth val="0"/>
        </c:ser>
        <c:marker val="1"/>
        <c:axId val="42053454"/>
        <c:axId val="42936767"/>
      </c:line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936767"/>
        <c:crosses val="autoZero"/>
        <c:auto val="1"/>
        <c:lblOffset val="100"/>
        <c:tickLblSkip val="1"/>
        <c:noMultiLvlLbl val="0"/>
      </c:catAx>
      <c:valAx>
        <c:axId val="4293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Length of infrastructure relative to 1990</a:t>
                </a:r>
              </a:p>
            </c:rich>
          </c:tx>
          <c:layout>
            <c:manualLayout>
              <c:xMode val="factor"/>
              <c:yMode val="factor"/>
              <c:x val="-0.006"/>
              <c:y val="-0.0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3454"/>
        <c:crossesAt val="1"/>
        <c:crossBetween val="between"/>
        <c:dispUnits/>
      </c:valAx>
      <c:catAx>
        <c:axId val="43601412"/>
        <c:scaling>
          <c:orientation val="minMax"/>
        </c:scaling>
        <c:axPos val="b"/>
        <c:delete val="1"/>
        <c:majorTickMark val="out"/>
        <c:minorTickMark val="none"/>
        <c:tickLblPos val="none"/>
        <c:crossAx val="56868389"/>
        <c:crosses val="autoZero"/>
        <c:auto val="1"/>
        <c:lblOffset val="100"/>
        <c:tickLblSkip val="1"/>
        <c:noMultiLvlLbl val="0"/>
      </c:catAx>
      <c:valAx>
        <c:axId val="56868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Length of high-speed rail network (km)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14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06275"/>
          <c:w val="0.1445"/>
          <c:h val="0.1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225"/>
          <c:w val="0.756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BD_HSR!$B$18</c:f>
              <c:strCache>
                <c:ptCount val="1"/>
                <c:pt idx="0">
                  <c:v>EEA32 total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BD_HSR!$C$7:$AD$7</c:f>
              <c:numCache>
                <c:ptCount val="20"/>
                <c:pt idx="0">
                  <c:v>1981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BD_HSR!$C$18:$AD$18</c:f>
              <c:numCache>
                <c:ptCount val="20"/>
                <c:pt idx="1">
                  <c:v>1024</c:v>
                </c:pt>
                <c:pt idx="2">
                  <c:v>1133</c:v>
                </c:pt>
                <c:pt idx="3">
                  <c:v>1628</c:v>
                </c:pt>
                <c:pt idx="4">
                  <c:v>1628</c:v>
                </c:pt>
                <c:pt idx="5">
                  <c:v>1997</c:v>
                </c:pt>
                <c:pt idx="6">
                  <c:v>1997</c:v>
                </c:pt>
                <c:pt idx="7">
                  <c:v>2447</c:v>
                </c:pt>
                <c:pt idx="8">
                  <c:v>2519</c:v>
                </c:pt>
                <c:pt idx="9">
                  <c:v>2708</c:v>
                </c:pt>
                <c:pt idx="10">
                  <c:v>2708</c:v>
                </c:pt>
                <c:pt idx="11">
                  <c:v>2708</c:v>
                </c:pt>
                <c:pt idx="12">
                  <c:v>2967</c:v>
                </c:pt>
                <c:pt idx="13">
                  <c:v>3032</c:v>
                </c:pt>
                <c:pt idx="14">
                  <c:v>3746</c:v>
                </c:pt>
                <c:pt idx="15">
                  <c:v>4264</c:v>
                </c:pt>
                <c:pt idx="16">
                  <c:v>4285</c:v>
                </c:pt>
                <c:pt idx="17">
                  <c:v>4870</c:v>
                </c:pt>
                <c:pt idx="18">
                  <c:v>5510</c:v>
                </c:pt>
                <c:pt idx="19">
                  <c:v>5598</c:v>
                </c:pt>
              </c:numCache>
            </c:numRef>
          </c:val>
        </c:ser>
        <c:ser>
          <c:idx val="1"/>
          <c:order val="1"/>
          <c:tx>
            <c:strRef>
              <c:f>BD_HSR!$B$20</c:f>
              <c:strCache>
                <c:ptCount val="1"/>
                <c:pt idx="0">
                  <c:v>EEA under construction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BD_HSR!$C$7:$AD$7</c:f>
              <c:numCache>
                <c:ptCount val="20"/>
                <c:pt idx="0">
                  <c:v>1981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BD_HSR!$C$20:$AD$20</c:f>
              <c:numCache>
                <c:ptCount val="20"/>
                <c:pt idx="19">
                  <c:v>4149</c:v>
                </c:pt>
              </c:numCache>
            </c:numRef>
          </c:val>
        </c:ser>
        <c:ser>
          <c:idx val="2"/>
          <c:order val="2"/>
          <c:tx>
            <c:strRef>
              <c:f>BD_HSR!$B$21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BD_HSR!$C$7:$AD$7</c:f>
              <c:numCache>
                <c:ptCount val="20"/>
                <c:pt idx="0">
                  <c:v>1981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BD_HSR!$C$21:$AD$21</c:f>
              <c:numCache>
                <c:ptCount val="20"/>
                <c:pt idx="19">
                  <c:v>832</c:v>
                </c:pt>
              </c:numCache>
            </c:numRef>
          </c:val>
        </c:ser>
        <c:ser>
          <c:idx val="3"/>
          <c:order val="3"/>
          <c:tx>
            <c:strRef>
              <c:f>BD_HSR!$B$22</c:f>
              <c:strCache>
                <c:ptCount val="1"/>
                <c:pt idx="0">
                  <c:v>China - Taiwan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BD_HSR!$C$7:$AD$7</c:f>
              <c:numCache>
                <c:ptCount val="20"/>
                <c:pt idx="0">
                  <c:v>1981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BD_HSR!$C$22:$AD$22</c:f>
              <c:numCache>
                <c:ptCount val="20"/>
                <c:pt idx="19">
                  <c:v>345</c:v>
                </c:pt>
              </c:numCache>
            </c:numRef>
          </c:val>
        </c:ser>
        <c:ser>
          <c:idx val="4"/>
          <c:order val="4"/>
          <c:tx>
            <c:strRef>
              <c:f>BD_HSR!$B$23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BD_HSR!$C$7:$AD$7</c:f>
              <c:numCache>
                <c:ptCount val="20"/>
                <c:pt idx="0">
                  <c:v>1981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BD_HSR!$C$23:$AD$23</c:f>
              <c:numCache>
                <c:ptCount val="20"/>
                <c:pt idx="19">
                  <c:v>2452</c:v>
                </c:pt>
              </c:numCache>
            </c:numRef>
          </c:val>
        </c:ser>
        <c:ser>
          <c:idx val="5"/>
          <c:order val="5"/>
          <c:tx>
            <c:strRef>
              <c:f>BD_HSR!$B$24</c:f>
              <c:strCache>
                <c:ptCount val="1"/>
                <c:pt idx="0">
                  <c:v>South Korea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BD_HSR!$C$7:$AD$7</c:f>
              <c:numCache>
                <c:ptCount val="20"/>
                <c:pt idx="0">
                  <c:v>1981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BD_HSR!$C$24:$AD$24</c:f>
              <c:numCache>
                <c:ptCount val="20"/>
                <c:pt idx="19">
                  <c:v>330</c:v>
                </c:pt>
              </c:numCache>
            </c:numRef>
          </c:val>
        </c:ser>
        <c:ser>
          <c:idx val="6"/>
          <c:order val="6"/>
          <c:tx>
            <c:strRef>
              <c:f>BD_HSR!$B$25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BD_HSR!$C$7:$AD$7</c:f>
              <c:numCache>
                <c:ptCount val="20"/>
                <c:pt idx="0">
                  <c:v>1981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BD_HSR!$C$25:$AD$25</c:f>
              <c:numCache>
                <c:ptCount val="20"/>
                <c:pt idx="19">
                  <c:v>362</c:v>
                </c:pt>
              </c:numCache>
            </c:numRef>
          </c:val>
        </c:ser>
        <c:axId val="50886584"/>
        <c:axId val="55326073"/>
      </c:bar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326073"/>
        <c:crosses val="autoZero"/>
        <c:auto val="1"/>
        <c:lblOffset val="100"/>
        <c:tickLblSkip val="1"/>
        <c:noMultiLvlLbl val="0"/>
      </c:catAx>
      <c:valAx>
        <c:axId val="55326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Length of high-speed rail line (km)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86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36675"/>
          <c:w val="0.1635"/>
          <c:h val="0.2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05"/>
          <c:w val="0.8687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DExtract3!$G$7</c:f>
              <c:strCache>
                <c:ptCount val="1"/>
                <c:pt idx="0">
                  <c:v>Mpass/km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DExtract3!$B$8:$B$33</c:f>
              <c:strCache>
                <c:ptCount val="26"/>
                <c:pt idx="0">
                  <c:v>Ireland</c:v>
                </c:pt>
                <c:pt idx="1">
                  <c:v>Greece</c:v>
                </c:pt>
                <c:pt idx="2">
                  <c:v>Denmark</c:v>
                </c:pt>
                <c:pt idx="3">
                  <c:v>United Kingdom</c:v>
                </c:pt>
                <c:pt idx="4">
                  <c:v>Hungary</c:v>
                </c:pt>
                <c:pt idx="5">
                  <c:v>Norway</c:v>
                </c:pt>
                <c:pt idx="6">
                  <c:v>Romania</c:v>
                </c:pt>
                <c:pt idx="7">
                  <c:v>Turkey</c:v>
                </c:pt>
                <c:pt idx="8">
                  <c:v>France</c:v>
                </c:pt>
                <c:pt idx="9">
                  <c:v>Bulgaria</c:v>
                </c:pt>
                <c:pt idx="10">
                  <c:v>Portugal</c:v>
                </c:pt>
                <c:pt idx="11">
                  <c:v>Czech Republic</c:v>
                </c:pt>
                <c:pt idx="12">
                  <c:v>Italy</c:v>
                </c:pt>
                <c:pt idx="13">
                  <c:v>Finland</c:v>
                </c:pt>
                <c:pt idx="14">
                  <c:v>Poland</c:v>
                </c:pt>
                <c:pt idx="15">
                  <c:v>Belgium</c:v>
                </c:pt>
                <c:pt idx="16">
                  <c:v>Germany (including ex-GDR from 1991)</c:v>
                </c:pt>
                <c:pt idx="17">
                  <c:v>Sweden</c:v>
                </c:pt>
                <c:pt idx="18">
                  <c:v>Slovenia</c:v>
                </c:pt>
                <c:pt idx="19">
                  <c:v>Switzerland</c:v>
                </c:pt>
                <c:pt idx="20">
                  <c:v>Netherlands</c:v>
                </c:pt>
                <c:pt idx="21">
                  <c:v>Slovakia</c:v>
                </c:pt>
                <c:pt idx="22">
                  <c:v>Austria</c:v>
                </c:pt>
                <c:pt idx="23">
                  <c:v>Lithuania</c:v>
                </c:pt>
                <c:pt idx="24">
                  <c:v>Estonia</c:v>
                </c:pt>
                <c:pt idx="25">
                  <c:v>Latvia</c:v>
                </c:pt>
              </c:strCache>
            </c:strRef>
          </c:cat>
          <c:val>
            <c:numRef>
              <c:f>DExtract3!$G$8:$G$33</c:f>
              <c:numCache>
                <c:ptCount val="26"/>
                <c:pt idx="0">
                  <c:v>0.9314853556485355</c:v>
                </c:pt>
                <c:pt idx="1">
                  <c:v>0.5994180407371484</c:v>
                </c:pt>
                <c:pt idx="2">
                  <c:v>1.8726815466834328</c:v>
                </c:pt>
                <c:pt idx="3">
                  <c:v>1.3454545454545455</c:v>
                </c:pt>
                <c:pt idx="4">
                  <c:v>0.7735374950922654</c:v>
                </c:pt>
                <c:pt idx="5">
                  <c:v>0.6283924843423799</c:v>
                </c:pt>
                <c:pt idx="6">
                  <c:v>0.3749764462031279</c:v>
                </c:pt>
                <c:pt idx="7">
                  <c:v>0.45848506919155135</c:v>
                </c:pt>
                <c:pt idx="8">
                  <c:v>1.5638044429964775</c:v>
                </c:pt>
                <c:pt idx="9">
                  <c:v>0.3965145228215768</c:v>
                </c:pt>
                <c:pt idx="10">
                  <c:v>1.3597743824075397</c:v>
                </c:pt>
                <c:pt idx="11">
                  <c:v>0.4126640257489478</c:v>
                </c:pt>
                <c:pt idx="12">
                  <c:v>2.247191011235955</c:v>
                </c:pt>
                <c:pt idx="13">
                  <c:v>0.4038663095376732</c:v>
                </c:pt>
                <c:pt idx="14">
                  <c:v>0.4594552929085303</c:v>
                </c:pt>
                <c:pt idx="15">
                  <c:v>1.3692679002413515</c:v>
                </c:pt>
                <c:pt idx="16">
                  <c:v>1.0622191986620746</c:v>
                </c:pt>
                <c:pt idx="17">
                  <c:v>0.580859375</c:v>
                </c:pt>
                <c:pt idx="18">
                  <c:v>0.3265231667274717</c:v>
                </c:pt>
                <c:pt idx="19">
                  <c:v>1.8052624549218645</c:v>
                </c:pt>
                <c:pt idx="20">
                  <c:v>5.241992882562277</c:v>
                </c:pt>
                <c:pt idx="21">
                  <c:v>0.5965008201202843</c:v>
                </c:pt>
                <c:pt idx="22">
                  <c:v>1.5420063807160582</c:v>
                </c:pt>
                <c:pt idx="23">
                  <c:v>0.1828655024229679</c:v>
                </c:pt>
                <c:pt idx="24">
                  <c:v>0.13793103448275862</c:v>
                </c:pt>
                <c:pt idx="25">
                  <c:v>0.3464963221060782</c:v>
                </c:pt>
              </c:numCache>
            </c:numRef>
          </c:val>
        </c:ser>
        <c:ser>
          <c:idx val="1"/>
          <c:order val="1"/>
          <c:tx>
            <c:strRef>
              <c:f>DExtract3!$H$7</c:f>
              <c:strCache>
                <c:ptCount val="1"/>
                <c:pt idx="0">
                  <c:v>Mtkm/km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DExtract3!$B$8:$B$33</c:f>
              <c:strCache>
                <c:ptCount val="26"/>
                <c:pt idx="0">
                  <c:v>Ireland</c:v>
                </c:pt>
                <c:pt idx="1">
                  <c:v>Greece</c:v>
                </c:pt>
                <c:pt idx="2">
                  <c:v>Denmark</c:v>
                </c:pt>
                <c:pt idx="3">
                  <c:v>United Kingdom</c:v>
                </c:pt>
                <c:pt idx="4">
                  <c:v>Hungary</c:v>
                </c:pt>
                <c:pt idx="5">
                  <c:v>Norway</c:v>
                </c:pt>
                <c:pt idx="6">
                  <c:v>Romania</c:v>
                </c:pt>
                <c:pt idx="7">
                  <c:v>Turkey</c:v>
                </c:pt>
                <c:pt idx="8">
                  <c:v>France</c:v>
                </c:pt>
                <c:pt idx="9">
                  <c:v>Bulgaria</c:v>
                </c:pt>
                <c:pt idx="10">
                  <c:v>Portugal</c:v>
                </c:pt>
                <c:pt idx="11">
                  <c:v>Czech Republic</c:v>
                </c:pt>
                <c:pt idx="12">
                  <c:v>Italy</c:v>
                </c:pt>
                <c:pt idx="13">
                  <c:v>Finland</c:v>
                </c:pt>
                <c:pt idx="14">
                  <c:v>Poland</c:v>
                </c:pt>
                <c:pt idx="15">
                  <c:v>Belgium</c:v>
                </c:pt>
                <c:pt idx="16">
                  <c:v>Germany (including ex-GDR from 1991)</c:v>
                </c:pt>
                <c:pt idx="17">
                  <c:v>Sweden</c:v>
                </c:pt>
                <c:pt idx="18">
                  <c:v>Slovenia</c:v>
                </c:pt>
                <c:pt idx="19">
                  <c:v>Switzerland</c:v>
                </c:pt>
                <c:pt idx="20">
                  <c:v>Netherlands</c:v>
                </c:pt>
                <c:pt idx="21">
                  <c:v>Slovakia</c:v>
                </c:pt>
                <c:pt idx="22">
                  <c:v>Austria</c:v>
                </c:pt>
                <c:pt idx="23">
                  <c:v>Lithuania</c:v>
                </c:pt>
                <c:pt idx="24">
                  <c:v>Estonia</c:v>
                </c:pt>
                <c:pt idx="25">
                  <c:v>Latvia</c:v>
                </c:pt>
              </c:strCache>
            </c:strRef>
          </c:cat>
          <c:val>
            <c:numRef>
              <c:f>DExtract3!$H$8:$H$33</c:f>
              <c:numCache>
                <c:ptCount val="26"/>
                <c:pt idx="0">
                  <c:v>0.15847280334728034</c:v>
                </c:pt>
                <c:pt idx="1">
                  <c:v>0.19818946007112836</c:v>
                </c:pt>
                <c:pt idx="2">
                  <c:v>0.621188305564288</c:v>
                </c:pt>
                <c:pt idx="3">
                  <c:v>0.6764242424242424</c:v>
                </c:pt>
                <c:pt idx="4">
                  <c:v>0.7137809187279152</c:v>
                </c:pt>
                <c:pt idx="5">
                  <c:v>0.7304569705404779</c:v>
                </c:pt>
                <c:pt idx="6">
                  <c:v>0.7811381194648578</c:v>
                </c:pt>
                <c:pt idx="7">
                  <c:v>0.8263838310269482</c:v>
                </c:pt>
                <c:pt idx="8">
                  <c:v>0.8287552686770785</c:v>
                </c:pt>
                <c:pt idx="9">
                  <c:v>0.8569294605809129</c:v>
                </c:pt>
                <c:pt idx="10">
                  <c:v>0.8646294445237755</c:v>
                </c:pt>
                <c:pt idx="11">
                  <c:v>0.9201535033424115</c:v>
                </c:pt>
                <c:pt idx="12">
                  <c:v>1.0229662921348315</c:v>
                </c:pt>
                <c:pt idx="13">
                  <c:v>1.1303132642366367</c:v>
                </c:pt>
                <c:pt idx="14">
                  <c:v>1.283967112024666</c:v>
                </c:pt>
                <c:pt idx="15">
                  <c:v>1.3081255028157686</c:v>
                </c:pt>
                <c:pt idx="16">
                  <c:v>1.3523959352013266</c:v>
                </c:pt>
                <c:pt idx="17">
                  <c:v>1.4111328125</c:v>
                </c:pt>
                <c:pt idx="18">
                  <c:v>1.479843122947829</c:v>
                </c:pt>
                <c:pt idx="19">
                  <c:v>1.5596367036196073</c:v>
                </c:pt>
                <c:pt idx="20">
                  <c:v>1.7882562277580072</c:v>
                </c:pt>
                <c:pt idx="21">
                  <c:v>2.5869327501366866</c:v>
                </c:pt>
                <c:pt idx="22">
                  <c:v>3.359978730946473</c:v>
                </c:pt>
                <c:pt idx="23">
                  <c:v>5.694888909207278</c:v>
                </c:pt>
                <c:pt idx="24">
                  <c:v>5.9171301446051165</c:v>
                </c:pt>
                <c:pt idx="25">
                  <c:v>7.657375145180024</c:v>
                </c:pt>
              </c:numCache>
            </c:numRef>
          </c:val>
        </c:ser>
        <c:axId val="28172610"/>
        <c:axId val="52226899"/>
      </c:barChart>
      <c:catAx>
        <c:axId val="2817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6899"/>
        <c:crosses val="autoZero"/>
        <c:auto val="1"/>
        <c:lblOffset val="100"/>
        <c:tickLblSkip val="1"/>
        <c:noMultiLvlLbl val="0"/>
      </c:catAx>
      <c:valAx>
        <c:axId val="522268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72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46075"/>
          <c:w val="0.086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832256400" y="83225640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832256400" y="83225640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93.81.167.162/" TargetMode="External" /><Relationship Id="rId2" Type="http://schemas.openxmlformats.org/officeDocument/2006/relationships/hyperlink" Target="http://www.rfi.it/netstat/netstat/general_information.htm" TargetMode="External" /><Relationship Id="rId3" Type="http://schemas.openxmlformats.org/officeDocument/2006/relationships/hyperlink" Target="http://www.ose.gr/" TargetMode="External" /><Relationship Id="rId4" Type="http://schemas.openxmlformats.org/officeDocument/2006/relationships/hyperlink" Target="http://www.uic.org/" TargetMode="Externa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A42"/>
  <sheetViews>
    <sheetView zoomScale="90" zoomScaleNormal="90" zoomScalePageLayoutView="0" workbookViewId="0" topLeftCell="A1">
      <selection activeCell="G12" sqref="G12"/>
    </sheetView>
  </sheetViews>
  <sheetFormatPr defaultColWidth="9.00390625" defaultRowHeight="12.75"/>
  <cols>
    <col min="1" max="1" width="22.375" style="16" customWidth="1"/>
    <col min="2" max="16384" width="9.00390625" style="16" customWidth="1"/>
  </cols>
  <sheetData>
    <row r="1" spans="1:131" ht="12.75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</row>
    <row r="3" ht="12.75">
      <c r="A3" s="4" t="s">
        <v>152</v>
      </c>
    </row>
    <row r="4" ht="12.75">
      <c r="A4" s="5" t="s">
        <v>1</v>
      </c>
    </row>
    <row r="6" ht="12.75">
      <c r="A6" s="5" t="s">
        <v>2</v>
      </c>
    </row>
    <row r="7" spans="1:2" ht="12.75">
      <c r="A7" s="6" t="s">
        <v>3</v>
      </c>
      <c r="B7" s="7"/>
    </row>
    <row r="8" spans="1:2" ht="12.75">
      <c r="A8" s="8" t="s">
        <v>4</v>
      </c>
      <c r="B8" s="7"/>
    </row>
    <row r="9" spans="1:2" ht="12.75">
      <c r="A9" s="9" t="s">
        <v>5</v>
      </c>
      <c r="B9" s="7"/>
    </row>
    <row r="10" spans="1:2" ht="12.75">
      <c r="A10" s="10" t="s">
        <v>83</v>
      </c>
      <c r="B10" s="7"/>
    </row>
    <row r="11" spans="1:2" ht="12.75">
      <c r="A11" s="11" t="s">
        <v>6</v>
      </c>
      <c r="B11" s="7"/>
    </row>
    <row r="13" spans="1:2" ht="12.75">
      <c r="A13" s="16" t="s">
        <v>7</v>
      </c>
      <c r="B13" s="16" t="s">
        <v>151</v>
      </c>
    </row>
    <row r="15" spans="1:109" ht="12.75">
      <c r="A15" s="1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</row>
    <row r="16" spans="1:2" ht="12.75">
      <c r="A16" s="12" t="s">
        <v>9</v>
      </c>
      <c r="B16" s="12" t="s">
        <v>10</v>
      </c>
    </row>
    <row r="17" spans="1:5" ht="12.75">
      <c r="A17" s="13" t="s">
        <v>99</v>
      </c>
      <c r="B17" s="13" t="s">
        <v>11</v>
      </c>
      <c r="C17" s="13"/>
      <c r="D17" s="13"/>
      <c r="E17" s="13"/>
    </row>
    <row r="18" spans="1:5" ht="12.75">
      <c r="A18" s="13" t="s">
        <v>98</v>
      </c>
      <c r="B18" s="13" t="s">
        <v>179</v>
      </c>
      <c r="C18" s="13"/>
      <c r="D18" s="13"/>
      <c r="E18" s="13"/>
    </row>
    <row r="19" spans="1:5" ht="12.75">
      <c r="A19" s="13" t="s">
        <v>194</v>
      </c>
      <c r="B19" s="13" t="s">
        <v>180</v>
      </c>
      <c r="C19" s="13"/>
      <c r="D19" s="13"/>
      <c r="E19" s="13"/>
    </row>
    <row r="20" spans="1:5" ht="12.75">
      <c r="A20" s="13" t="s">
        <v>195</v>
      </c>
      <c r="B20" s="13" t="s">
        <v>181</v>
      </c>
      <c r="C20" s="13"/>
      <c r="D20" s="13"/>
      <c r="E20" s="13"/>
    </row>
    <row r="21" spans="1:5" ht="12.75">
      <c r="A21" s="13" t="s">
        <v>196</v>
      </c>
      <c r="B21" s="13" t="s">
        <v>182</v>
      </c>
      <c r="C21" s="13"/>
      <c r="D21" s="13"/>
      <c r="E21" s="13"/>
    </row>
    <row r="22" spans="1:5" ht="12.75">
      <c r="A22" s="13" t="s">
        <v>197</v>
      </c>
      <c r="B22" s="13" t="s">
        <v>183</v>
      </c>
      <c r="C22" s="13"/>
      <c r="D22" s="13"/>
      <c r="E22" s="13"/>
    </row>
    <row r="23" spans="1:5" ht="12.75">
      <c r="A23" s="13" t="s">
        <v>198</v>
      </c>
      <c r="B23" s="13" t="s">
        <v>178</v>
      </c>
      <c r="C23" s="13"/>
      <c r="D23" s="13"/>
      <c r="E23" s="13"/>
    </row>
    <row r="24" spans="1:5" ht="12.75">
      <c r="A24" s="13" t="s">
        <v>199</v>
      </c>
      <c r="B24" s="13" t="s">
        <v>184</v>
      </c>
      <c r="C24" s="13"/>
      <c r="D24" s="13"/>
      <c r="E24" s="13"/>
    </row>
    <row r="25" spans="1:5" ht="12.75">
      <c r="A25" s="13" t="s">
        <v>200</v>
      </c>
      <c r="B25" s="13" t="s">
        <v>185</v>
      </c>
      <c r="C25" s="13"/>
      <c r="D25" s="13"/>
      <c r="E25" s="13"/>
    </row>
    <row r="26" spans="1:5" ht="12.75">
      <c r="A26" s="13" t="s">
        <v>201</v>
      </c>
      <c r="B26" s="13" t="s">
        <v>186</v>
      </c>
      <c r="C26" s="13"/>
      <c r="D26" s="13"/>
      <c r="E26" s="13"/>
    </row>
    <row r="27" spans="1:5" ht="12.75">
      <c r="A27" s="13" t="s">
        <v>202</v>
      </c>
      <c r="B27" s="13" t="s">
        <v>187</v>
      </c>
      <c r="C27" s="13"/>
      <c r="D27" s="13"/>
      <c r="E27" s="13"/>
    </row>
    <row r="28" spans="1:5" ht="12.75">
      <c r="A28" s="13" t="s">
        <v>203</v>
      </c>
      <c r="B28" s="13" t="s">
        <v>188</v>
      </c>
      <c r="C28" s="13"/>
      <c r="D28" s="13"/>
      <c r="E28" s="13"/>
    </row>
    <row r="29" spans="1:5" ht="12.75">
      <c r="A29" s="13" t="s">
        <v>204</v>
      </c>
      <c r="B29" s="13" t="s">
        <v>189</v>
      </c>
      <c r="C29" s="13"/>
      <c r="D29" s="13"/>
      <c r="E29" s="13"/>
    </row>
    <row r="30" spans="1:5" ht="12.75">
      <c r="A30" s="13" t="s">
        <v>205</v>
      </c>
      <c r="B30" s="13" t="s">
        <v>190</v>
      </c>
      <c r="C30" s="13"/>
      <c r="D30" s="13"/>
      <c r="E30" s="13"/>
    </row>
    <row r="31" spans="1:5" ht="12.75">
      <c r="A31" s="13" t="s">
        <v>206</v>
      </c>
      <c r="B31" s="13" t="s">
        <v>191</v>
      </c>
      <c r="C31" s="13"/>
      <c r="D31" s="13"/>
      <c r="E31" s="13"/>
    </row>
    <row r="32" spans="1:5" ht="12.75">
      <c r="A32" s="13" t="s">
        <v>207</v>
      </c>
      <c r="B32" s="13" t="s">
        <v>192</v>
      </c>
      <c r="C32" s="13"/>
      <c r="D32" s="13"/>
      <c r="E32" s="13"/>
    </row>
    <row r="33" spans="1:5" ht="12.75">
      <c r="A33" s="13"/>
      <c r="B33" s="13"/>
      <c r="C33" s="13"/>
      <c r="D33" s="13"/>
      <c r="E33" s="13"/>
    </row>
    <row r="34" spans="1:111" ht="12.75">
      <c r="A34" s="1" t="s">
        <v>12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</row>
    <row r="35" spans="1:3" ht="12.75">
      <c r="A35" s="13" t="s">
        <v>13</v>
      </c>
      <c r="B35" s="13"/>
      <c r="C35" s="13"/>
    </row>
    <row r="36" spans="1:3" ht="12.75">
      <c r="A36" s="13" t="s">
        <v>14</v>
      </c>
      <c r="B36" s="13" t="s">
        <v>106</v>
      </c>
      <c r="C36" s="13"/>
    </row>
    <row r="37" spans="1:3" ht="12.75">
      <c r="A37" s="13" t="s">
        <v>15</v>
      </c>
      <c r="B37" s="13" t="s">
        <v>107</v>
      </c>
      <c r="C37" s="13"/>
    </row>
    <row r="38" spans="1:3" ht="12.75">
      <c r="A38" s="13" t="s">
        <v>105</v>
      </c>
      <c r="B38" s="13" t="s">
        <v>84</v>
      </c>
      <c r="C38" s="13"/>
    </row>
    <row r="39" spans="1:3" ht="12.75">
      <c r="A39" s="13"/>
      <c r="B39" s="13"/>
      <c r="C39" s="13"/>
    </row>
    <row r="40" spans="1:3" ht="12.75">
      <c r="A40" s="13" t="s">
        <v>14</v>
      </c>
      <c r="B40" s="13" t="s">
        <v>115</v>
      </c>
      <c r="C40" s="13"/>
    </row>
    <row r="41" spans="1:3" ht="12.75">
      <c r="A41" s="13" t="s">
        <v>15</v>
      </c>
      <c r="B41" s="13" t="s">
        <v>116</v>
      </c>
      <c r="C41" s="13"/>
    </row>
    <row r="42" spans="1:3" ht="12.75">
      <c r="A42" s="13" t="s">
        <v>105</v>
      </c>
      <c r="B42" s="13" t="s">
        <v>114</v>
      </c>
      <c r="C42" s="13"/>
    </row>
  </sheetData>
  <sheetProtection/>
  <hyperlinks>
    <hyperlink ref="C19" r:id="rId1" display="http://193.81.167.162/"/>
    <hyperlink ref="C35" r:id="rId2" display="http://www.rfi.it/netstat/netstat/general_information.htm"/>
    <hyperlink ref="C34" r:id="rId3" display="www.ose.gr"/>
    <hyperlink ref="B41" r:id="rId4" display="www.uic.org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T19"/>
  <sheetViews>
    <sheetView zoomScalePageLayoutView="0" workbookViewId="0" topLeftCell="A1">
      <selection activeCell="B12" sqref="B12"/>
    </sheetView>
  </sheetViews>
  <sheetFormatPr defaultColWidth="9.00390625" defaultRowHeight="12" customHeight="1"/>
  <cols>
    <col min="1" max="1" width="12.25390625" style="19" customWidth="1"/>
    <col min="2" max="15" width="6.50390625" style="19" customWidth="1"/>
    <col min="16" max="16" width="11.125" style="19" customWidth="1"/>
    <col min="17" max="20" width="6.50390625" style="19" customWidth="1"/>
    <col min="21" max="16384" width="9.00390625" style="19" customWidth="1"/>
  </cols>
  <sheetData>
    <row r="1" ht="12" customHeight="1">
      <c r="A1" s="28" t="s">
        <v>211</v>
      </c>
    </row>
    <row r="7" spans="1:20" s="21" customFormat="1" ht="12" customHeight="1">
      <c r="A7" s="19"/>
      <c r="B7" s="29">
        <v>1990</v>
      </c>
      <c r="C7" s="29">
        <v>1991</v>
      </c>
      <c r="D7" s="29">
        <v>1992</v>
      </c>
      <c r="E7" s="29">
        <v>1993</v>
      </c>
      <c r="F7" s="29">
        <v>1994</v>
      </c>
      <c r="G7" s="29">
        <v>1995</v>
      </c>
      <c r="H7" s="29">
        <v>1996</v>
      </c>
      <c r="I7" s="29">
        <v>1997</v>
      </c>
      <c r="J7" s="29">
        <v>1998</v>
      </c>
      <c r="K7" s="29">
        <v>1999</v>
      </c>
      <c r="L7" s="29">
        <v>2000</v>
      </c>
      <c r="M7" s="29">
        <v>2001</v>
      </c>
      <c r="N7" s="29">
        <v>2002</v>
      </c>
      <c r="O7" s="29">
        <v>2003</v>
      </c>
      <c r="P7" s="29">
        <v>2004</v>
      </c>
      <c r="Q7" s="29">
        <v>2005</v>
      </c>
      <c r="R7" s="29">
        <v>2006</v>
      </c>
      <c r="S7" s="29">
        <v>2007</v>
      </c>
      <c r="T7" s="29">
        <v>2008</v>
      </c>
    </row>
    <row r="8" spans="1:17" ht="12" customHeight="1">
      <c r="A8" s="19" t="s">
        <v>128</v>
      </c>
      <c r="B8" s="20">
        <f>BDMotorw!S42</f>
        <v>100</v>
      </c>
      <c r="C8" s="20">
        <f>BDMotorw!T42</f>
        <v>103.23017962822952</v>
      </c>
      <c r="D8" s="20">
        <f>BDMotorw!U42</f>
        <v>106.46557342857888</v>
      </c>
      <c r="E8" s="20">
        <f>BDMotorw!V42</f>
        <v>109.07265948848972</v>
      </c>
      <c r="F8" s="20">
        <f>BDMotorw!W42</f>
        <v>109.95646166279948</v>
      </c>
      <c r="G8" s="20">
        <f>BDMotorw!X42</f>
        <v>113.4590817842897</v>
      </c>
      <c r="H8" s="20">
        <f>BDMotorw!Y42</f>
        <v>116.05052532784107</v>
      </c>
      <c r="I8" s="20">
        <f>BDMotorw!Z42</f>
        <v>117.96386578720964</v>
      </c>
      <c r="J8" s="20">
        <f>BDMotorw!AA42</f>
        <v>122.06637641108533</v>
      </c>
      <c r="K8" s="20">
        <f>BDMotorw!AB42</f>
        <v>124.52746565164117</v>
      </c>
      <c r="L8" s="20">
        <f>BDMotorw!AC42</f>
        <v>126.2457960737284</v>
      </c>
      <c r="M8" s="20">
        <f>BDMotorw!AD42</f>
        <v>128.60755533540163</v>
      </c>
      <c r="N8" s="20">
        <f>BDMotorw!AE42</f>
        <v>130.88719138618762</v>
      </c>
      <c r="O8" s="20">
        <f>BDMotorw!AF42</f>
        <v>131.9643376697865</v>
      </c>
      <c r="P8" s="20">
        <f>BDMotorw!AG42</f>
        <v>134.02116953880648</v>
      </c>
      <c r="Q8" s="20">
        <f>BDMotorw!AH42</f>
        <v>136.2512709544542</v>
      </c>
    </row>
    <row r="9" spans="1:17" ht="12" customHeight="1">
      <c r="A9" s="19" t="s">
        <v>127</v>
      </c>
      <c r="B9" s="20">
        <f>BDRail!F42</f>
        <v>100</v>
      </c>
      <c r="C9" s="20">
        <f>BDRail!G42</f>
        <v>99.78147820454963</v>
      </c>
      <c r="D9" s="20">
        <f>BDRail!H42</f>
        <v>98.7317340963704</v>
      </c>
      <c r="E9" s="20">
        <f>BDRail!I42</f>
        <v>96.79480167429925</v>
      </c>
      <c r="F9" s="20">
        <f>BDRail!J42</f>
        <v>95.3069455333789</v>
      </c>
      <c r="G9" s="20">
        <f>BDRail!K42</f>
        <v>94.02812240680262</v>
      </c>
      <c r="H9" s="20">
        <f>BDRail!L42</f>
        <v>95.60097055221654</v>
      </c>
      <c r="I9" s="20">
        <f>BDRail!M42</f>
        <v>94.31115773813916</v>
      </c>
      <c r="J9" s="20">
        <f>BDRail!N42</f>
        <v>93.5347057892758</v>
      </c>
      <c r="K9" s="20">
        <f>BDRail!O42</f>
        <v>92.68249622611079</v>
      </c>
      <c r="L9" s="20">
        <f>BDRail!P42</f>
        <v>91.59456804168347</v>
      </c>
      <c r="M9" s="20">
        <f>BDRail!Q42</f>
        <v>91.31115112397538</v>
      </c>
      <c r="N9" s="20">
        <f>BDRail!R42</f>
        <v>90.97632180247156</v>
      </c>
      <c r="O9" s="20">
        <f>BDRail!S42</f>
        <v>90.28554871357056</v>
      </c>
      <c r="P9" s="20">
        <f>BDRail!T42</f>
        <v>89.58238678713943</v>
      </c>
      <c r="Q9" s="20">
        <f>BDRail!U42</f>
        <v>90.25392792291345</v>
      </c>
    </row>
    <row r="10" spans="1:17" ht="12" customHeight="1">
      <c r="A10" s="19" t="s">
        <v>129</v>
      </c>
      <c r="B10" s="20">
        <f>BDIWW!C31</f>
        <v>100</v>
      </c>
      <c r="C10" s="20">
        <f>BDIWW!D31</f>
        <v>106.24788335567479</v>
      </c>
      <c r="D10" s="20">
        <f>BDIWW!E31</f>
        <v>105.60661255783349</v>
      </c>
      <c r="E10" s="20">
        <f>BDIWW!F31</f>
        <v>100.04635692514515</v>
      </c>
      <c r="F10" s="20">
        <f>BDIWW!G31</f>
        <v>99.9253138428217</v>
      </c>
      <c r="G10" s="20">
        <f>BDIWW!H31</f>
        <v>97.25154941583834</v>
      </c>
      <c r="H10" s="20">
        <f>BDIWW!I31</f>
        <v>96.33728783658667</v>
      </c>
      <c r="I10" s="20">
        <f>BDIWW!J31</f>
        <v>96.88854893810449</v>
      </c>
      <c r="J10" s="20">
        <f>BDIWW!K31</f>
        <v>100.19688816263039</v>
      </c>
      <c r="K10" s="20">
        <f>BDIWW!L31</f>
        <v>99.97540507582576</v>
      </c>
      <c r="L10" s="20">
        <f>BDIWW!M31</f>
        <v>100.55151863999085</v>
      </c>
      <c r="M10" s="20">
        <f>BDIWW!N31</f>
        <v>99.40882043516275</v>
      </c>
      <c r="N10" s="20">
        <f>BDIWW!O31</f>
        <v>99.17574811707183</v>
      </c>
      <c r="O10" s="20">
        <f>BDIWW!P31</f>
        <v>98.54349116578652</v>
      </c>
      <c r="P10" s="20">
        <f>BDIWW!Q31</f>
        <v>105.22403915614943</v>
      </c>
      <c r="Q10" s="20">
        <f>BDIWW!R31</f>
        <v>106.70488537606411</v>
      </c>
    </row>
    <row r="11" spans="1:17" ht="12" customHeight="1">
      <c r="A11" s="19" t="s">
        <v>130</v>
      </c>
      <c r="B11" s="20">
        <f>BDPipe!I31</f>
        <v>100</v>
      </c>
      <c r="C11" s="20">
        <f>BDPipe!J31</f>
        <v>104.99964741555603</v>
      </c>
      <c r="D11" s="20">
        <f>BDPipe!K31</f>
        <v>105.96925463648545</v>
      </c>
      <c r="E11" s="20">
        <f>BDPipe!L31</f>
        <v>101.04012410972427</v>
      </c>
      <c r="F11" s="20">
        <f>BDPipe!M31</f>
        <v>98.34637895776038</v>
      </c>
      <c r="G11" s="20">
        <f>BDPipe!N31</f>
        <v>100.57471264367815</v>
      </c>
      <c r="H11" s="20">
        <f>BDPipe!O31</f>
        <v>104.54833932726888</v>
      </c>
      <c r="I11" s="20">
        <f>BDPipe!P31</f>
        <v>107.7074959452789</v>
      </c>
      <c r="J11" s="20">
        <f>BDPipe!Q31</f>
        <v>108.1059163669699</v>
      </c>
      <c r="K11" s="20">
        <f>BDPipe!R31</f>
        <v>111.95261265072985</v>
      </c>
      <c r="L11" s="20">
        <f>BDPipe!S31</f>
        <v>111.79042380650166</v>
      </c>
      <c r="M11" s="20">
        <f>BDPipe!T31</f>
        <v>113.33121782666949</v>
      </c>
      <c r="N11" s="20">
        <f>BDPipe!U31</f>
        <v>112.98568507157464</v>
      </c>
      <c r="O11" s="20">
        <f>BDPipe!V31</f>
        <v>112.86580636062337</v>
      </c>
      <c r="P11" s="20">
        <f>BDPipe!W31</f>
        <v>113.7719483816374</v>
      </c>
      <c r="Q11" s="20">
        <f>BDPipe!X31</f>
        <v>115.53487060150906</v>
      </c>
    </row>
    <row r="12" spans="1:20" ht="12" customHeight="1">
      <c r="A12" s="60" t="s">
        <v>131</v>
      </c>
      <c r="B12" s="60">
        <f>BD_HSR!L18</f>
        <v>1024</v>
      </c>
      <c r="C12" s="60">
        <f>BD_HSR!M18</f>
        <v>1133</v>
      </c>
      <c r="D12" s="60">
        <f>BD_HSR!N18</f>
        <v>1628</v>
      </c>
      <c r="E12" s="60">
        <f>BD_HSR!O18</f>
        <v>1628</v>
      </c>
      <c r="F12" s="60">
        <f>BD_HSR!P18</f>
        <v>1997</v>
      </c>
      <c r="G12" s="60">
        <f>BD_HSR!Q18</f>
        <v>1997</v>
      </c>
      <c r="H12" s="60">
        <f>BD_HSR!R18</f>
        <v>2447</v>
      </c>
      <c r="I12" s="60">
        <f>BD_HSR!S18</f>
        <v>2519</v>
      </c>
      <c r="J12" s="60">
        <f>BD_HSR!T18</f>
        <v>2708</v>
      </c>
      <c r="K12" s="60">
        <f>BD_HSR!U18</f>
        <v>2708</v>
      </c>
      <c r="L12" s="60">
        <f>BD_HSR!V18</f>
        <v>2708</v>
      </c>
      <c r="M12" s="60">
        <f>BD_HSR!W18</f>
        <v>2967</v>
      </c>
      <c r="N12" s="60">
        <f>BD_HSR!X18</f>
        <v>3032</v>
      </c>
      <c r="O12" s="60">
        <f>BD_HSR!Y18</f>
        <v>3746</v>
      </c>
      <c r="P12" s="60">
        <f>BD_HSR!Z18</f>
        <v>4264</v>
      </c>
      <c r="Q12" s="60">
        <f>BD_HSR!AA18</f>
        <v>4285</v>
      </c>
      <c r="R12" s="60">
        <f>BD_HSR!AB18</f>
        <v>4870</v>
      </c>
      <c r="S12" s="60">
        <f>BD_HSR!AC18</f>
        <v>5510</v>
      </c>
      <c r="T12" s="60">
        <f>BD_HSR!AD18</f>
        <v>5598</v>
      </c>
    </row>
    <row r="14" spans="16:19" ht="12" customHeight="1">
      <c r="P14" s="19" t="s">
        <v>244</v>
      </c>
      <c r="S14" s="19" t="s">
        <v>243</v>
      </c>
    </row>
    <row r="15" spans="16:19" ht="12" customHeight="1">
      <c r="P15" s="19" t="s">
        <v>128</v>
      </c>
      <c r="Q15" s="104">
        <f>(Q8-G8)/G8</f>
        <v>0.20088466089913729</v>
      </c>
      <c r="S15" s="89">
        <f>(Q15*100)/BDMotorw!AL42</f>
        <v>1.0000000000000007</v>
      </c>
    </row>
    <row r="16" spans="16:19" ht="12" customHeight="1">
      <c r="P16" s="19" t="s">
        <v>127</v>
      </c>
      <c r="Q16" s="104">
        <f>(Q9-G9)/G9</f>
        <v>-0.04013899658190053</v>
      </c>
      <c r="S16" s="89">
        <f>(Q16*100)/BDRail!AA41</f>
        <v>1.0000000000000007</v>
      </c>
    </row>
    <row r="17" spans="16:19" ht="12" customHeight="1">
      <c r="P17" s="19" t="s">
        <v>129</v>
      </c>
      <c r="Q17" s="104">
        <f>(Q10-G10)/G10</f>
        <v>0.09720499073803143</v>
      </c>
      <c r="S17" s="89">
        <f>(Q17*100)/BDIWW!X30</f>
        <v>1.000000000000001</v>
      </c>
    </row>
    <row r="18" spans="16:19" ht="12" customHeight="1">
      <c r="P18" s="19" t="s">
        <v>130</v>
      </c>
      <c r="Q18" s="114">
        <f>(Q11-G11)/G11</f>
        <v>0.1487467134092901</v>
      </c>
      <c r="S18" s="89">
        <f>(Q18*100)/BDPipe!AD30</f>
        <v>1</v>
      </c>
    </row>
    <row r="19" spans="16:19" ht="12" customHeight="1">
      <c r="P19" s="102" t="s">
        <v>131</v>
      </c>
      <c r="Q19" s="114">
        <f>(Q12-G12)/G12</f>
        <v>1.1457185778668002</v>
      </c>
      <c r="S19" s="89">
        <f>(Q19*100)/BD_HSR!AI18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R46"/>
  <sheetViews>
    <sheetView zoomScalePageLayoutView="0" workbookViewId="0" topLeftCell="A1">
      <selection activeCell="L40" sqref="L40"/>
    </sheetView>
  </sheetViews>
  <sheetFormatPr defaultColWidth="9.00390625" defaultRowHeight="12" customHeight="1"/>
  <cols>
    <col min="1" max="1" width="7.25390625" style="19" customWidth="1"/>
    <col min="2" max="2" width="14.375" style="19" customWidth="1"/>
    <col min="3" max="3" width="10.75390625" style="19" customWidth="1"/>
    <col min="4" max="4" width="11.50390625" style="19" customWidth="1"/>
    <col min="5" max="5" width="9.50390625" style="19" customWidth="1"/>
    <col min="6" max="6" width="6.875" style="19" customWidth="1"/>
    <col min="7" max="7" width="8.375" style="19" customWidth="1"/>
    <col min="8" max="8" width="6.875" style="19" customWidth="1"/>
    <col min="9" max="9" width="7.50390625" style="19" customWidth="1"/>
    <col min="10" max="10" width="6.875" style="19" customWidth="1"/>
    <col min="11" max="11" width="5.00390625" style="19" customWidth="1"/>
    <col min="12" max="12" width="14.875" style="20" customWidth="1"/>
    <col min="13" max="13" width="13.125" style="20" customWidth="1"/>
    <col min="14" max="14" width="4.625" style="20" customWidth="1"/>
    <col min="15" max="15" width="13.50390625" style="20" customWidth="1"/>
    <col min="16" max="16" width="12.125" style="20" customWidth="1"/>
    <col min="17" max="17" width="3.75390625" style="20" customWidth="1"/>
    <col min="18" max="18" width="12.50390625" style="19" customWidth="1"/>
    <col min="19" max="16384" width="9.00390625" style="19" customWidth="1"/>
  </cols>
  <sheetData>
    <row r="1" ht="12" customHeight="1">
      <c r="A1" s="28" t="s">
        <v>215</v>
      </c>
    </row>
    <row r="3" ht="12" customHeight="1">
      <c r="A3" s="16" t="s">
        <v>273</v>
      </c>
    </row>
    <row r="6" ht="12" customHeight="1">
      <c r="G6" s="19" t="s">
        <v>236</v>
      </c>
    </row>
    <row r="7" spans="2:18" s="81" customFormat="1" ht="40.5" customHeight="1">
      <c r="B7" s="19"/>
      <c r="C7" s="85" t="s">
        <v>212</v>
      </c>
      <c r="D7" s="85" t="s">
        <v>221</v>
      </c>
      <c r="E7" s="85" t="s">
        <v>222</v>
      </c>
      <c r="F7" s="85" t="s">
        <v>225</v>
      </c>
      <c r="G7" s="127" t="s">
        <v>212</v>
      </c>
      <c r="H7" s="127" t="s">
        <v>274</v>
      </c>
      <c r="I7" s="127" t="s">
        <v>128</v>
      </c>
      <c r="J7" s="127" t="s">
        <v>127</v>
      </c>
      <c r="K7" s="19"/>
      <c r="L7" s="85" t="s">
        <v>223</v>
      </c>
      <c r="M7" s="85" t="s">
        <v>224</v>
      </c>
      <c r="N7" s="20"/>
      <c r="O7" s="85" t="s">
        <v>226</v>
      </c>
      <c r="P7" s="85" t="s">
        <v>227</v>
      </c>
      <c r="Q7" s="20"/>
      <c r="R7" s="85" t="s">
        <v>228</v>
      </c>
    </row>
    <row r="8" spans="1:18" ht="12" customHeight="1">
      <c r="A8" s="30" t="s">
        <v>20</v>
      </c>
      <c r="B8" s="19" t="s">
        <v>21</v>
      </c>
      <c r="C8" s="51">
        <v>8206524</v>
      </c>
      <c r="D8" s="51">
        <v>82433.4</v>
      </c>
      <c r="E8" s="51">
        <v>1677</v>
      </c>
      <c r="F8" s="51">
        <v>5642</v>
      </c>
      <c r="G8" s="129">
        <f>(VLOOKUP(A8,BDLPopul!$A$8:$BG$38,59,FALSE))/C8</f>
        <v>1</v>
      </c>
      <c r="H8" s="128">
        <f>VLOOKUP(A8,BDLand!$A$8:$G$38,7,FALSE)/D8</f>
        <v>1</v>
      </c>
      <c r="I8" s="128">
        <f>VLOOKUP(A8,BDMotorw!$A$8:$AH$38,34,FALSE)/E8</f>
        <v>1</v>
      </c>
      <c r="J8" s="128">
        <f>VLOOKUP(A8,BDRail!$A8:$U38,21,FALSE)/F8</f>
        <v>1</v>
      </c>
      <c r="K8" s="20"/>
      <c r="L8" s="20">
        <f>E8/(D8/1000)</f>
        <v>20.34369563793317</v>
      </c>
      <c r="M8" s="20">
        <f>E8/(C8/1000)</f>
        <v>0.2043496125765306</v>
      </c>
      <c r="O8" s="20">
        <f>F8/(D8/1000)</f>
        <v>68.44313106095346</v>
      </c>
      <c r="P8" s="20">
        <f>F8/(C8/1000)</f>
        <v>0.6875017973504982</v>
      </c>
      <c r="R8" s="82">
        <f>C8/D8</f>
        <v>99.55338491436724</v>
      </c>
    </row>
    <row r="9" spans="1:18" ht="12" customHeight="1">
      <c r="A9" s="30" t="s">
        <v>23</v>
      </c>
      <c r="B9" s="19" t="s">
        <v>24</v>
      </c>
      <c r="C9" s="51">
        <v>10445852</v>
      </c>
      <c r="D9" s="51">
        <v>30328.16</v>
      </c>
      <c r="E9" s="51">
        <v>1747</v>
      </c>
      <c r="F9" s="51">
        <v>6215</v>
      </c>
      <c r="G9" s="129">
        <f>(VLOOKUP(A9,BDLPopul!$A$8:$BG$38,59,FALSE))/C9</f>
        <v>1</v>
      </c>
      <c r="H9" s="128">
        <f>VLOOKUP(A9,BDLand!$A$8:$G$38,7,FALSE)/D9</f>
        <v>1</v>
      </c>
      <c r="I9" s="128">
        <f>VLOOKUP(A9,BDMotorw!$A$8:$AH$38,34,FALSE)/E9</f>
        <v>1</v>
      </c>
      <c r="J9" s="128">
        <f>VLOOKUP(A9,BDRail!$A9:$U39,21,FALSE)/F9</f>
        <v>1</v>
      </c>
      <c r="K9" s="20"/>
      <c r="L9" s="20">
        <f aca="true" t="shared" si="0" ref="L9:L38">E9/(D9/1000)</f>
        <v>57.60323079276817</v>
      </c>
      <c r="M9" s="20">
        <f aca="true" t="shared" si="1" ref="M9:M38">E9/(C9/1000)</f>
        <v>0.16724341872735704</v>
      </c>
      <c r="O9" s="20">
        <f aca="true" t="shared" si="2" ref="O9:O38">F9/(D9/1000)</f>
        <v>204.92505974645346</v>
      </c>
      <c r="P9" s="20">
        <f aca="true" t="shared" si="3" ref="P9:P38">F9/(C9/1000)</f>
        <v>0.5949730093820973</v>
      </c>
      <c r="R9" s="82">
        <f aca="true" t="shared" si="4" ref="R9:R38">C9/D9</f>
        <v>344.42748917177965</v>
      </c>
    </row>
    <row r="10" spans="1:18" ht="12" customHeight="1">
      <c r="A10" s="30" t="s">
        <v>25</v>
      </c>
      <c r="B10" s="19" t="s">
        <v>26</v>
      </c>
      <c r="C10" s="51">
        <v>7761049</v>
      </c>
      <c r="D10" s="86">
        <v>110910</v>
      </c>
      <c r="E10" s="51">
        <v>331</v>
      </c>
      <c r="F10" s="51">
        <v>6025</v>
      </c>
      <c r="G10" s="129">
        <f>(VLOOKUP(A10,BDLPopul!$A$8:$BG$38,59,FALSE))/C10</f>
        <v>1</v>
      </c>
      <c r="H10" s="128">
        <f>VLOOKUP(A10,BDLand!$A$8:$G$38,7,FALSE)/D10</f>
        <v>1</v>
      </c>
      <c r="I10" s="128">
        <f>VLOOKUP(A10,BDMotorw!$A$8:$AH$38,34,FALSE)/E10</f>
        <v>1</v>
      </c>
      <c r="J10" s="128">
        <f>VLOOKUP(A10,BDRail!$A10:$U40,21,FALSE)/F10</f>
        <v>1</v>
      </c>
      <c r="K10" s="20"/>
      <c r="L10" s="20">
        <f t="shared" si="0"/>
        <v>2.9844017671986296</v>
      </c>
      <c r="M10" s="20">
        <f t="shared" si="1"/>
        <v>0.04264887388289908</v>
      </c>
      <c r="O10" s="20">
        <f t="shared" si="2"/>
        <v>54.32332521864575</v>
      </c>
      <c r="P10" s="20">
        <f t="shared" si="3"/>
        <v>0.776312583518027</v>
      </c>
      <c r="R10" s="82">
        <f t="shared" si="4"/>
        <v>69.9760977369038</v>
      </c>
    </row>
    <row r="11" spans="1:18" ht="12" customHeight="1">
      <c r="A11" s="30" t="s">
        <v>27</v>
      </c>
      <c r="B11" s="19" t="s">
        <v>28</v>
      </c>
      <c r="C11" s="51">
        <v>749175</v>
      </c>
      <c r="D11" s="51">
        <v>9251</v>
      </c>
      <c r="E11" s="51">
        <v>276</v>
      </c>
      <c r="F11" s="51">
        <v>0</v>
      </c>
      <c r="G11" s="129">
        <f>(VLOOKUP(A11,BDLPopul!$A$8:$BG$38,59,FALSE))/C11</f>
        <v>1</v>
      </c>
      <c r="H11" s="128">
        <f>VLOOKUP(A11,BDLand!$A$8:$G$38,7,FALSE)/D11</f>
        <v>1</v>
      </c>
      <c r="I11" s="128">
        <f>VLOOKUP(A11,BDMotorw!$A$8:$AH$38,34,FALSE)/E11</f>
        <v>1</v>
      </c>
      <c r="J11" s="128" t="e">
        <f>VLOOKUP(A11,BDRail!$A11:$U41,21,FALSE)/F11</f>
        <v>#DIV/0!</v>
      </c>
      <c r="K11" s="20"/>
      <c r="L11" s="20">
        <f t="shared" si="0"/>
        <v>29.834612474327102</v>
      </c>
      <c r="M11" s="20">
        <f t="shared" si="1"/>
        <v>0.3684052457703474</v>
      </c>
      <c r="O11" s="20">
        <f t="shared" si="2"/>
        <v>0</v>
      </c>
      <c r="P11" s="20">
        <f t="shared" si="3"/>
        <v>0</v>
      </c>
      <c r="R11" s="82">
        <f t="shared" si="4"/>
        <v>80.98313695816668</v>
      </c>
    </row>
    <row r="12" spans="1:18" ht="12" customHeight="1">
      <c r="A12" s="30" t="s">
        <v>29</v>
      </c>
      <c r="B12" s="19" t="s">
        <v>30</v>
      </c>
      <c r="C12" s="51">
        <v>10220577</v>
      </c>
      <c r="D12" s="51">
        <v>77272</v>
      </c>
      <c r="E12" s="51">
        <v>564.4</v>
      </c>
      <c r="F12" s="51">
        <v>16156</v>
      </c>
      <c r="G12" s="129">
        <f>(VLOOKUP(A12,BDLPopul!$A$8:$BG$38,59,FALSE))/C12</f>
        <v>1</v>
      </c>
      <c r="H12" s="128">
        <f>VLOOKUP(A12,BDLand!$A$8:$G$38,7,FALSE)/D12</f>
        <v>1</v>
      </c>
      <c r="I12" s="128">
        <f>VLOOKUP(A12,BDMotorw!$A$8:$AH$38,34,FALSE)/E12</f>
        <v>1</v>
      </c>
      <c r="J12" s="128">
        <f>VLOOKUP(A12,BDRail!$A12:$U42,21,FALSE)/F12</f>
        <v>1</v>
      </c>
      <c r="K12" s="20"/>
      <c r="L12" s="20">
        <f t="shared" si="0"/>
        <v>7.304068744176415</v>
      </c>
      <c r="M12" s="20">
        <f t="shared" si="1"/>
        <v>0.055221931207993444</v>
      </c>
      <c r="O12" s="20">
        <f t="shared" si="2"/>
        <v>209.07961486696342</v>
      </c>
      <c r="P12" s="20">
        <f t="shared" si="3"/>
        <v>1.580732672920521</v>
      </c>
      <c r="R12" s="82">
        <f t="shared" si="4"/>
        <v>132.26753545915727</v>
      </c>
    </row>
    <row r="13" spans="1:18" ht="12" customHeight="1">
      <c r="A13" s="30" t="s">
        <v>33</v>
      </c>
      <c r="B13" s="19" t="s">
        <v>34</v>
      </c>
      <c r="C13" s="51">
        <v>5411405</v>
      </c>
      <c r="D13" s="51">
        <v>42393.05</v>
      </c>
      <c r="E13" s="51">
        <v>1010</v>
      </c>
      <c r="F13" s="51">
        <v>3181</v>
      </c>
      <c r="G13" s="129">
        <f>(VLOOKUP(A13,BDLPopul!$A$8:$BG$38,59,FALSE))/C13</f>
        <v>1</v>
      </c>
      <c r="H13" s="128">
        <f>VLOOKUP(A13,BDLand!$A$8:$G$38,7,FALSE)/D13</f>
        <v>1</v>
      </c>
      <c r="I13" s="128">
        <f>VLOOKUP(A13,BDMotorw!$A$8:$AH$38,34,FALSE)/E13</f>
        <v>1</v>
      </c>
      <c r="J13" s="128">
        <f>VLOOKUP(A13,BDRail!$A13:$U43,21,FALSE)/F13</f>
        <v>1</v>
      </c>
      <c r="K13" s="20"/>
      <c r="L13" s="20">
        <f t="shared" si="0"/>
        <v>23.824659938362537</v>
      </c>
      <c r="M13" s="20">
        <f t="shared" si="1"/>
        <v>0.18664284044531873</v>
      </c>
      <c r="O13" s="20">
        <f t="shared" si="2"/>
        <v>75.03588441973389</v>
      </c>
      <c r="P13" s="20">
        <f t="shared" si="3"/>
        <v>0.587832549956989</v>
      </c>
      <c r="R13" s="82">
        <f t="shared" si="4"/>
        <v>127.64839991460863</v>
      </c>
    </row>
    <row r="14" spans="1:18" ht="12" customHeight="1">
      <c r="A14" s="30" t="s">
        <v>35</v>
      </c>
      <c r="B14" s="19" t="s">
        <v>36</v>
      </c>
      <c r="C14" s="51">
        <v>1347510</v>
      </c>
      <c r="D14" s="51">
        <v>45227</v>
      </c>
      <c r="E14" s="51">
        <v>99</v>
      </c>
      <c r="F14" s="51">
        <v>1798</v>
      </c>
      <c r="G14" s="129">
        <f>(VLOOKUP(A14,BDLPopul!$A$8:$BG$38,59,FALSE))/C14</f>
        <v>1</v>
      </c>
      <c r="H14" s="128">
        <f>VLOOKUP(A14,BDLand!$A$8:$G$38,7,FALSE)/D14</f>
        <v>1</v>
      </c>
      <c r="I14" s="128">
        <f>VLOOKUP(A14,BDMotorw!$A$8:$AH$38,34,FALSE)/E14</f>
        <v>1</v>
      </c>
      <c r="J14" s="128">
        <f>VLOOKUP(A14,BDRail!$A14:$U44,21,FALSE)/F14</f>
        <v>1</v>
      </c>
      <c r="K14" s="20"/>
      <c r="L14" s="20">
        <f t="shared" si="0"/>
        <v>2.188957923364362</v>
      </c>
      <c r="M14" s="20">
        <f t="shared" si="1"/>
        <v>0.07346884253178083</v>
      </c>
      <c r="O14" s="20">
        <f t="shared" si="2"/>
        <v>39.755013598071955</v>
      </c>
      <c r="P14" s="20">
        <f t="shared" si="3"/>
        <v>1.3343129179004238</v>
      </c>
      <c r="R14" s="83">
        <f>C14/D14</f>
        <v>29.79437061932032</v>
      </c>
    </row>
    <row r="15" spans="1:18" ht="12" customHeight="1">
      <c r="A15" s="30" t="s">
        <v>41</v>
      </c>
      <c r="B15" s="19" t="s">
        <v>42</v>
      </c>
      <c r="C15" s="51">
        <v>5236611</v>
      </c>
      <c r="D15" s="51">
        <v>304594</v>
      </c>
      <c r="E15" s="51">
        <v>693</v>
      </c>
      <c r="F15" s="51">
        <v>8587</v>
      </c>
      <c r="G15" s="129">
        <f>(VLOOKUP(A15,BDLPopul!$A$8:$BG$38,59,FALSE))/C15</f>
        <v>1</v>
      </c>
      <c r="H15" s="128">
        <f>VLOOKUP(A15,BDLand!$A$8:$G$38,7,FALSE)/D15</f>
        <v>1</v>
      </c>
      <c r="I15" s="128">
        <f>VLOOKUP(A15,BDMotorw!$A$8:$AH$38,34,FALSE)/E15</f>
        <v>1</v>
      </c>
      <c r="J15" s="128">
        <f>VLOOKUP(A15,BDRail!$A15:$U45,21,FALSE)/F15</f>
        <v>1</v>
      </c>
      <c r="K15" s="20"/>
      <c r="L15" s="20">
        <f t="shared" si="0"/>
        <v>2.275159720808683</v>
      </c>
      <c r="M15" s="20">
        <f t="shared" si="1"/>
        <v>0.13233749843171472</v>
      </c>
      <c r="O15" s="20">
        <f t="shared" si="2"/>
        <v>28.191625573714518</v>
      </c>
      <c r="P15" s="20">
        <f t="shared" si="3"/>
        <v>1.6398010087058215</v>
      </c>
      <c r="R15" s="82">
        <f t="shared" si="4"/>
        <v>17.192101617234744</v>
      </c>
    </row>
    <row r="16" spans="1:18" ht="12" customHeight="1">
      <c r="A16" s="30" t="s">
        <v>43</v>
      </c>
      <c r="B16" s="19" t="s">
        <v>44</v>
      </c>
      <c r="C16" s="51">
        <v>62637596</v>
      </c>
      <c r="D16" s="51">
        <v>541412.24</v>
      </c>
      <c r="E16" s="51">
        <v>10800</v>
      </c>
      <c r="F16" s="51">
        <v>49111</v>
      </c>
      <c r="G16" s="129">
        <f>(VLOOKUP(A16,BDLPopul!$A$8:$BG$38,59,FALSE))/C16</f>
        <v>1</v>
      </c>
      <c r="H16" s="128">
        <f>VLOOKUP(A16,BDLand!$A$8:$G$38,7,FALSE)/D16</f>
        <v>1</v>
      </c>
      <c r="I16" s="128">
        <f>VLOOKUP(A16,BDMotorw!$A$8:$AH$38,34,FALSE)/E16</f>
        <v>1</v>
      </c>
      <c r="J16" s="128">
        <f>VLOOKUP(A16,BDRail!$A16:$U46,21,FALSE)/F16</f>
        <v>1</v>
      </c>
      <c r="K16" s="20"/>
      <c r="L16" s="20">
        <f t="shared" si="0"/>
        <v>19.947831249622283</v>
      </c>
      <c r="M16" s="20">
        <f t="shared" si="1"/>
        <v>0.17242041025967855</v>
      </c>
      <c r="O16" s="20">
        <f t="shared" si="2"/>
        <v>90.70906856483333</v>
      </c>
      <c r="P16" s="20">
        <f t="shared" si="3"/>
        <v>0.7840498859502846</v>
      </c>
      <c r="R16" s="82">
        <f t="shared" si="4"/>
        <v>115.6929810083348</v>
      </c>
    </row>
    <row r="17" spans="1:18" ht="12" customHeight="1">
      <c r="A17" s="30" t="s">
        <v>31</v>
      </c>
      <c r="B17" s="19" t="s">
        <v>96</v>
      </c>
      <c r="C17" s="51">
        <v>82500849</v>
      </c>
      <c r="D17" s="51">
        <v>348946.36</v>
      </c>
      <c r="E17" s="51">
        <v>12363</v>
      </c>
      <c r="F17" s="51">
        <v>70557</v>
      </c>
      <c r="G17" s="129">
        <f>(VLOOKUP(A17,BDLPopul!$A$8:$BG$38,59,FALSE))/C17</f>
        <v>1</v>
      </c>
      <c r="H17" s="128">
        <f>VLOOKUP(A17,BDLand!$A$8:$G$38,7,FALSE)/D17</f>
        <v>1</v>
      </c>
      <c r="I17" s="128">
        <f>VLOOKUP(A17,BDMotorw!$A$8:$AH$38,34,FALSE)/E17</f>
        <v>1</v>
      </c>
      <c r="J17" s="128">
        <f>VLOOKUP(A17,BDRail!$A17:$U47,21,FALSE)/F17</f>
        <v>1</v>
      </c>
      <c r="K17" s="20"/>
      <c r="L17" s="20">
        <f t="shared" si="0"/>
        <v>35.42951415226111</v>
      </c>
      <c r="M17" s="20">
        <f t="shared" si="1"/>
        <v>0.14985300333091117</v>
      </c>
      <c r="O17" s="20">
        <f t="shared" si="2"/>
        <v>202.20013184834485</v>
      </c>
      <c r="P17" s="20">
        <f t="shared" si="3"/>
        <v>0.8552275625672652</v>
      </c>
      <c r="R17" s="82">
        <f t="shared" si="4"/>
        <v>236.42845565146462</v>
      </c>
    </row>
    <row r="18" spans="1:18" ht="12" customHeight="1">
      <c r="A18" s="30" t="s">
        <v>37</v>
      </c>
      <c r="B18" s="19" t="s">
        <v>38</v>
      </c>
      <c r="C18" s="51">
        <v>11082751</v>
      </c>
      <c r="D18" s="51">
        <v>131957.4</v>
      </c>
      <c r="E18" s="51">
        <v>280</v>
      </c>
      <c r="F18" s="51">
        <v>3093</v>
      </c>
      <c r="G18" s="129">
        <f>(VLOOKUP(A18,BDLPopul!$A$8:$BG$38,59,FALSE))/C18</f>
        <v>1</v>
      </c>
      <c r="H18" s="128">
        <f>VLOOKUP(A18,BDLand!$A$8:$G$38,7,FALSE)/D18</f>
        <v>1</v>
      </c>
      <c r="I18" s="128">
        <f>VLOOKUP(A18,BDMotorw!$A$8:$AH$38,34,FALSE)/E18</f>
        <v>1</v>
      </c>
      <c r="J18" s="128">
        <f>VLOOKUP(A18,BDRail!$A18:$U48,21,FALSE)/F18</f>
        <v>1</v>
      </c>
      <c r="K18" s="20"/>
      <c r="L18" s="20">
        <f t="shared" si="0"/>
        <v>2.121896915216577</v>
      </c>
      <c r="M18" s="20">
        <f t="shared" si="1"/>
        <v>0.025264485324988352</v>
      </c>
      <c r="O18" s="20">
        <f t="shared" si="2"/>
        <v>23.43938270987455</v>
      </c>
      <c r="P18" s="20">
        <f t="shared" si="3"/>
        <v>0.2790823325363892</v>
      </c>
      <c r="R18" s="82">
        <f t="shared" si="4"/>
        <v>83.98733985361943</v>
      </c>
    </row>
    <row r="19" spans="1:18" ht="12" customHeight="1">
      <c r="A19" s="30" t="s">
        <v>47</v>
      </c>
      <c r="B19" s="19" t="s">
        <v>48</v>
      </c>
      <c r="C19" s="51">
        <v>10097549</v>
      </c>
      <c r="D19" s="51">
        <v>91733</v>
      </c>
      <c r="E19" s="51">
        <v>636</v>
      </c>
      <c r="F19" s="51">
        <v>12735</v>
      </c>
      <c r="G19" s="129">
        <f>(VLOOKUP(A19,BDLPopul!$A$8:$BG$38,59,FALSE))/C19</f>
        <v>1</v>
      </c>
      <c r="H19" s="128">
        <f>VLOOKUP(A19,BDLand!$A$8:$G$38,7,FALSE)/D19</f>
        <v>1</v>
      </c>
      <c r="I19" s="128">
        <f>VLOOKUP(A19,BDMotorw!$A$8:$AH$38,34,FALSE)/E19</f>
        <v>1</v>
      </c>
      <c r="J19" s="128">
        <f>VLOOKUP(A19,BDRail!$A19:$U49,21,FALSE)/F19</f>
        <v>1</v>
      </c>
      <c r="K19" s="20"/>
      <c r="L19" s="20">
        <f t="shared" si="0"/>
        <v>6.933164728069506</v>
      </c>
      <c r="M19" s="20">
        <f t="shared" si="1"/>
        <v>0.06298558194666844</v>
      </c>
      <c r="O19" s="20">
        <f t="shared" si="2"/>
        <v>138.8268125974295</v>
      </c>
      <c r="P19" s="20">
        <f t="shared" si="3"/>
        <v>1.261197147941545</v>
      </c>
      <c r="R19" s="82">
        <f t="shared" si="4"/>
        <v>110.07542541942377</v>
      </c>
    </row>
    <row r="20" spans="1:18" ht="12" customHeight="1">
      <c r="A20" s="30" t="s">
        <v>51</v>
      </c>
      <c r="B20" s="19" t="s">
        <v>52</v>
      </c>
      <c r="C20" s="51">
        <v>293577</v>
      </c>
      <c r="D20" s="51">
        <v>100600</v>
      </c>
      <c r="E20" s="51">
        <v>11</v>
      </c>
      <c r="F20" s="51">
        <v>0</v>
      </c>
      <c r="G20" s="129">
        <f>(VLOOKUP(A20,BDLPopul!$A$8:$BG$38,59,FALSE))/C20</f>
        <v>1</v>
      </c>
      <c r="H20" s="128">
        <f>VLOOKUP(A20,BDLand!$A$8:$G$38,7,FALSE)/D20</f>
        <v>0</v>
      </c>
      <c r="I20" s="128">
        <f>VLOOKUP(A20,BDMotorw!$A$8:$AH$38,34,FALSE)/E20</f>
        <v>0</v>
      </c>
      <c r="J20" s="128" t="e">
        <f>VLOOKUP(A20,BDRail!$A20:$U50,21,FALSE)/F20</f>
        <v>#DIV/0!</v>
      </c>
      <c r="K20" s="20"/>
      <c r="L20" s="20">
        <f t="shared" si="0"/>
        <v>0.10934393638170975</v>
      </c>
      <c r="M20" s="20">
        <f t="shared" si="1"/>
        <v>0.03746887528655174</v>
      </c>
      <c r="O20" s="20">
        <f t="shared" si="2"/>
        <v>0</v>
      </c>
      <c r="P20" s="20">
        <f t="shared" si="3"/>
        <v>0</v>
      </c>
      <c r="R20" s="82">
        <f t="shared" si="4"/>
        <v>2.9182604373757455</v>
      </c>
    </row>
    <row r="21" spans="1:18" ht="12" customHeight="1">
      <c r="A21" s="30" t="s">
        <v>49</v>
      </c>
      <c r="B21" s="19" t="s">
        <v>50</v>
      </c>
      <c r="C21" s="51">
        <v>4109173</v>
      </c>
      <c r="D21" s="51">
        <v>68891.2</v>
      </c>
      <c r="E21" s="51">
        <v>247</v>
      </c>
      <c r="F21" s="51">
        <v>1912</v>
      </c>
      <c r="G21" s="129">
        <f>(VLOOKUP(A21,BDLPopul!$A$8:$BG$38,59,FALSE))/C21</f>
        <v>1</v>
      </c>
      <c r="H21" s="128">
        <f>VLOOKUP(A21,BDLand!$A$8:$G$38,7,FALSE)/D21</f>
        <v>1</v>
      </c>
      <c r="I21" s="128">
        <f>VLOOKUP(A21,BDMotorw!$A$8:$AH$38,34,FALSE)/E21</f>
        <v>1</v>
      </c>
      <c r="J21" s="128">
        <f>VLOOKUP(A21,BDRail!$A21:$U51,21,FALSE)/F21</f>
        <v>1</v>
      </c>
      <c r="K21" s="20"/>
      <c r="L21" s="20">
        <f t="shared" si="0"/>
        <v>3.585363587802216</v>
      </c>
      <c r="M21" s="20">
        <f t="shared" si="1"/>
        <v>0.06010941861050874</v>
      </c>
      <c r="O21" s="20">
        <f t="shared" si="2"/>
        <v>27.753907610841445</v>
      </c>
      <c r="P21" s="20">
        <f t="shared" si="3"/>
        <v>0.4653004387987559</v>
      </c>
      <c r="R21" s="82">
        <f t="shared" si="4"/>
        <v>59.64728441368419</v>
      </c>
    </row>
    <row r="22" spans="1:18" ht="12" customHeight="1">
      <c r="A22" s="30" t="s">
        <v>53</v>
      </c>
      <c r="B22" s="19" t="s">
        <v>54</v>
      </c>
      <c r="C22" s="51">
        <v>58462375</v>
      </c>
      <c r="D22" s="51">
        <v>301333</v>
      </c>
      <c r="E22" s="51">
        <v>6478</v>
      </c>
      <c r="F22" s="51">
        <v>22250</v>
      </c>
      <c r="G22" s="129">
        <f>(VLOOKUP(A22,BDLPopul!$A$8:$BG$38,59,FALSE))/C22</f>
        <v>1</v>
      </c>
      <c r="H22" s="128">
        <f>VLOOKUP(A22,BDLand!$A$8:$G$38,7,FALSE)/D22</f>
        <v>1</v>
      </c>
      <c r="I22" s="128">
        <f>VLOOKUP(A22,BDMotorw!$A$8:$AH$38,34,FALSE)/E22</f>
        <v>1</v>
      </c>
      <c r="J22" s="128">
        <f>VLOOKUP(A22,BDRail!$A22:$U52,21,FALSE)/F22</f>
        <v>1</v>
      </c>
      <c r="K22" s="20"/>
      <c r="L22" s="20">
        <f t="shared" si="0"/>
        <v>21.497811391384282</v>
      </c>
      <c r="M22" s="20">
        <f t="shared" si="1"/>
        <v>0.11080630918603632</v>
      </c>
      <c r="O22" s="20">
        <f t="shared" si="2"/>
        <v>73.83857725506333</v>
      </c>
      <c r="P22" s="20">
        <f t="shared" si="3"/>
        <v>0.3805866593685255</v>
      </c>
      <c r="R22" s="84">
        <f t="shared" si="4"/>
        <v>194.01252103154982</v>
      </c>
    </row>
    <row r="23" spans="1:18" ht="12" customHeight="1">
      <c r="A23" s="30" t="s">
        <v>59</v>
      </c>
      <c r="B23" s="19" t="s">
        <v>60</v>
      </c>
      <c r="C23" s="51">
        <v>2306434</v>
      </c>
      <c r="D23" s="51">
        <v>62046</v>
      </c>
      <c r="E23" s="51">
        <v>0</v>
      </c>
      <c r="F23" s="51">
        <v>2583</v>
      </c>
      <c r="G23" s="129">
        <f>(VLOOKUP(A23,BDLPopul!$A$8:$BG$38,59,FALSE))/C23</f>
        <v>1</v>
      </c>
      <c r="H23" s="128">
        <f>VLOOKUP(A23,BDLand!$A$8:$G$38,7,FALSE)/D23</f>
        <v>1</v>
      </c>
      <c r="I23" s="128" t="e">
        <f>VLOOKUP(A23,BDMotorw!$A$8:$AH$38,34,FALSE)/E23</f>
        <v>#DIV/0!</v>
      </c>
      <c r="J23" s="128">
        <f>VLOOKUP(A23,BDRail!$A23:$U53,21,FALSE)/F23</f>
        <v>1</v>
      </c>
      <c r="K23" s="20"/>
      <c r="L23" s="20">
        <f t="shared" si="0"/>
        <v>0</v>
      </c>
      <c r="M23" s="20">
        <f t="shared" si="1"/>
        <v>0</v>
      </c>
      <c r="O23" s="20">
        <f t="shared" si="2"/>
        <v>41.6304032492022</v>
      </c>
      <c r="P23" s="20">
        <f t="shared" si="3"/>
        <v>1.119910649947061</v>
      </c>
      <c r="R23" s="84">
        <f t="shared" si="4"/>
        <v>37.172968442768266</v>
      </c>
    </row>
    <row r="24" spans="1:18" ht="12" customHeight="1">
      <c r="A24" s="30" t="s">
        <v>55</v>
      </c>
      <c r="B24" s="19" t="s">
        <v>87</v>
      </c>
      <c r="C24" s="51">
        <v>3425324</v>
      </c>
      <c r="D24" s="51">
        <v>62675.21</v>
      </c>
      <c r="E24" s="51">
        <v>417</v>
      </c>
      <c r="F24" s="51">
        <v>2187.4</v>
      </c>
      <c r="G24" s="129">
        <f>(VLOOKUP(A24,BDLPopul!$A$8:$BG$38,59,FALSE))/C24</f>
        <v>1</v>
      </c>
      <c r="H24" s="128">
        <f>VLOOKUP(A24,BDLand!$A$8:$G$38,7,FALSE)/D24</f>
        <v>1</v>
      </c>
      <c r="I24" s="128">
        <f>VLOOKUP(A24,BDMotorw!$A$8:$AH$38,34,FALSE)/E24</f>
        <v>1</v>
      </c>
      <c r="J24" s="128">
        <f>VLOOKUP(A24,BDRail!$A24:$U54,21,FALSE)/F24</f>
        <v>1</v>
      </c>
      <c r="K24" s="20"/>
      <c r="L24" s="20">
        <f t="shared" si="0"/>
        <v>6.653348269594948</v>
      </c>
      <c r="M24" s="20">
        <f t="shared" si="1"/>
        <v>0.12174030836207027</v>
      </c>
      <c r="O24" s="20">
        <f t="shared" si="2"/>
        <v>34.90056116285849</v>
      </c>
      <c r="P24" s="20">
        <f t="shared" si="3"/>
        <v>0.638596524007656</v>
      </c>
      <c r="R24" s="84">
        <f t="shared" si="4"/>
        <v>54.651974839813064</v>
      </c>
    </row>
    <row r="25" spans="1:18" ht="12" customHeight="1">
      <c r="A25" s="30" t="s">
        <v>57</v>
      </c>
      <c r="B25" s="19" t="s">
        <v>97</v>
      </c>
      <c r="C25" s="51">
        <v>461230</v>
      </c>
      <c r="D25" s="51">
        <v>2578.9</v>
      </c>
      <c r="E25" s="51">
        <v>115</v>
      </c>
      <c r="F25" s="51"/>
      <c r="G25" s="129">
        <f>(VLOOKUP(A25,BDLPopul!$A$8:$BG$38,59,FALSE))/C25</f>
        <v>1</v>
      </c>
      <c r="H25" s="128">
        <f>VLOOKUP(A25,BDLand!$A$8:$G$38,7,FALSE)/D25</f>
        <v>0</v>
      </c>
      <c r="I25" s="128">
        <f>VLOOKUP(A25,BDMotorw!$A$8:$AH$38,34,FALSE)/E25</f>
        <v>0</v>
      </c>
      <c r="J25" s="128" t="e">
        <f>VLOOKUP(A25,BDRail!$A25:$U55,21,FALSE)/F25</f>
        <v>#DIV/0!</v>
      </c>
      <c r="K25" s="20"/>
      <c r="L25" s="20">
        <f t="shared" si="0"/>
        <v>44.592655783473575</v>
      </c>
      <c r="M25" s="20">
        <f t="shared" si="1"/>
        <v>0.2493333044251241</v>
      </c>
      <c r="O25" s="20">
        <f t="shared" si="2"/>
        <v>0</v>
      </c>
      <c r="P25" s="20">
        <f t="shared" si="3"/>
        <v>0</v>
      </c>
      <c r="R25" s="84">
        <f t="shared" si="4"/>
        <v>178.84757066966534</v>
      </c>
    </row>
    <row r="26" spans="1:18" ht="12" customHeight="1">
      <c r="A26" s="30" t="s">
        <v>61</v>
      </c>
      <c r="B26" s="19" t="s">
        <v>62</v>
      </c>
      <c r="C26" s="51">
        <v>402668</v>
      </c>
      <c r="D26" s="86">
        <v>316</v>
      </c>
      <c r="E26" s="51">
        <v>0</v>
      </c>
      <c r="F26" s="51">
        <v>0</v>
      </c>
      <c r="G26" s="129">
        <f>(VLOOKUP(A26,BDLPopul!$A$8:$BG$38,59,FALSE))/C26</f>
        <v>1</v>
      </c>
      <c r="H26" s="128">
        <f>VLOOKUP(A26,BDLand!$A$8:$G$38,7,FALSE)/D26</f>
        <v>1</v>
      </c>
      <c r="I26" s="128" t="e">
        <f>VLOOKUP(A26,BDMotorw!$A$8:$AH$38,34,FALSE)/E26</f>
        <v>#DIV/0!</v>
      </c>
      <c r="J26" s="128" t="e">
        <f>VLOOKUP(A26,BDRail!$A26:$U56,21,FALSE)/F26</f>
        <v>#DIV/0!</v>
      </c>
      <c r="K26" s="20"/>
      <c r="L26" s="20">
        <f t="shared" si="0"/>
        <v>0</v>
      </c>
      <c r="M26" s="20">
        <f t="shared" si="1"/>
        <v>0</v>
      </c>
      <c r="O26" s="20">
        <f t="shared" si="2"/>
        <v>0</v>
      </c>
      <c r="P26" s="20">
        <f t="shared" si="3"/>
        <v>0</v>
      </c>
      <c r="R26" s="84">
        <f t="shared" si="4"/>
        <v>1274.26582278481</v>
      </c>
    </row>
    <row r="27" spans="1:18" ht="12" customHeight="1">
      <c r="A27" s="30" t="s">
        <v>63</v>
      </c>
      <c r="B27" s="19" t="s">
        <v>64</v>
      </c>
      <c r="C27" s="51">
        <v>16305526</v>
      </c>
      <c r="D27" s="51">
        <v>33873</v>
      </c>
      <c r="E27" s="51">
        <v>2342</v>
      </c>
      <c r="F27" s="51">
        <v>2810</v>
      </c>
      <c r="G27" s="129">
        <f>(VLOOKUP(A27,BDLPopul!$A$8:$BG$38,59,FALSE))/C27</f>
        <v>1</v>
      </c>
      <c r="H27" s="128">
        <f>VLOOKUP(A27,BDLand!$A$8:$G$38,7,FALSE)/D27</f>
        <v>1</v>
      </c>
      <c r="I27" s="128">
        <f>VLOOKUP(A27,BDMotorw!$A$8:$AH$38,34,FALSE)/E27</f>
        <v>1</v>
      </c>
      <c r="J27" s="128">
        <f>VLOOKUP(A27,BDRail!$A27:$U57,21,FALSE)/F27</f>
        <v>1</v>
      </c>
      <c r="K27" s="20"/>
      <c r="L27" s="20">
        <f t="shared" si="0"/>
        <v>69.14061346795383</v>
      </c>
      <c r="M27" s="20">
        <f t="shared" si="1"/>
        <v>0.14363228760605454</v>
      </c>
      <c r="O27" s="20">
        <f t="shared" si="2"/>
        <v>82.956927346264</v>
      </c>
      <c r="P27" s="20">
        <f t="shared" si="3"/>
        <v>0.17233421356661538</v>
      </c>
      <c r="R27" s="84">
        <f t="shared" si="4"/>
        <v>481.37236146783573</v>
      </c>
    </row>
    <row r="28" spans="1:18" ht="12" customHeight="1">
      <c r="A28" s="30" t="s">
        <v>65</v>
      </c>
      <c r="B28" s="19" t="s">
        <v>66</v>
      </c>
      <c r="C28" s="51">
        <v>4606363</v>
      </c>
      <c r="D28" s="51">
        <v>306252</v>
      </c>
      <c r="E28" s="51">
        <v>264</v>
      </c>
      <c r="F28" s="51">
        <v>4311</v>
      </c>
      <c r="G28" s="129">
        <f>(VLOOKUP(A28,BDLPopul!$A$8:$BG$38,59,FALSE))/C28</f>
        <v>1</v>
      </c>
      <c r="H28" s="128">
        <f>VLOOKUP(A28,BDLand!$A$8:$G$38,7,FALSE)/D28</f>
        <v>1</v>
      </c>
      <c r="I28" s="128">
        <f>VLOOKUP(A28,BDMotorw!$A$8:$AH$38,34,FALSE)/E28</f>
        <v>1</v>
      </c>
      <c r="J28" s="128">
        <f>VLOOKUP(A28,BDRail!$A28:$U58,21,FALSE)/F28</f>
        <v>1</v>
      </c>
      <c r="K28" s="20"/>
      <c r="L28" s="20">
        <f t="shared" si="0"/>
        <v>0.8620351867089847</v>
      </c>
      <c r="M28" s="20">
        <f t="shared" si="1"/>
        <v>0.05731202686371004</v>
      </c>
      <c r="O28" s="20">
        <f t="shared" si="2"/>
        <v>14.076642764781944</v>
      </c>
      <c r="P28" s="20">
        <f t="shared" si="3"/>
        <v>0.9358793477630833</v>
      </c>
      <c r="R28" s="84">
        <f t="shared" si="4"/>
        <v>15.041087078614996</v>
      </c>
    </row>
    <row r="29" spans="1:18" ht="12" customHeight="1">
      <c r="A29" s="30" t="s">
        <v>67</v>
      </c>
      <c r="B29" s="19" t="s">
        <v>68</v>
      </c>
      <c r="C29" s="51">
        <v>38173835</v>
      </c>
      <c r="D29" s="51">
        <v>304349</v>
      </c>
      <c r="E29" s="51">
        <v>552</v>
      </c>
      <c r="F29" s="51">
        <v>38920</v>
      </c>
      <c r="G29" s="129">
        <f>(VLOOKUP(A29,BDLPopul!$A$8:$BG$38,59,FALSE))/C29</f>
        <v>1</v>
      </c>
      <c r="H29" s="128">
        <f>VLOOKUP(A29,BDLand!$A$8:$G$38,7,FALSE)/D29</f>
        <v>1</v>
      </c>
      <c r="I29" s="128">
        <f>VLOOKUP(A29,BDMotorw!$A$8:$AH$38,34,FALSE)/E29</f>
        <v>1</v>
      </c>
      <c r="J29" s="128">
        <f>VLOOKUP(A29,BDRail!$A29:$U59,21,FALSE)/F29</f>
        <v>1</v>
      </c>
      <c r="K29" s="20"/>
      <c r="L29" s="20">
        <f t="shared" si="0"/>
        <v>1.8137072899861673</v>
      </c>
      <c r="M29" s="20">
        <f t="shared" si="1"/>
        <v>0.014460166236900223</v>
      </c>
      <c r="O29" s="20">
        <f t="shared" si="2"/>
        <v>127.87950675047396</v>
      </c>
      <c r="P29" s="20">
        <f t="shared" si="3"/>
        <v>1.0195465035147766</v>
      </c>
      <c r="R29" s="84">
        <f t="shared" si="4"/>
        <v>125.42783120693677</v>
      </c>
    </row>
    <row r="30" spans="1:18" ht="12" customHeight="1">
      <c r="A30" s="30" t="s">
        <v>69</v>
      </c>
      <c r="B30" s="19" t="s">
        <v>70</v>
      </c>
      <c r="C30" s="51">
        <v>10529255</v>
      </c>
      <c r="D30" s="51">
        <v>88796</v>
      </c>
      <c r="E30" s="51">
        <v>1835</v>
      </c>
      <c r="F30" s="51">
        <v>2801.2</v>
      </c>
      <c r="G30" s="129">
        <f>(VLOOKUP(A30,BDLPopul!$A$8:$BG$38,59,FALSE))/C30</f>
        <v>1</v>
      </c>
      <c r="H30" s="128">
        <f>VLOOKUP(A30,BDLand!$A$8:$G$38,7,FALSE)/D30</f>
        <v>1</v>
      </c>
      <c r="I30" s="128">
        <f>VLOOKUP(A30,BDMotorw!$A$8:$AH$38,34,FALSE)/E30</f>
        <v>1</v>
      </c>
      <c r="J30" s="128">
        <f>VLOOKUP(A30,BDRail!$A30:$U60,21,FALSE)/F30</f>
        <v>1</v>
      </c>
      <c r="K30" s="20"/>
      <c r="L30" s="20">
        <f t="shared" si="0"/>
        <v>20.665345285823683</v>
      </c>
      <c r="M30" s="20">
        <f t="shared" si="1"/>
        <v>0.17427633768960862</v>
      </c>
      <c r="O30" s="20">
        <f t="shared" si="2"/>
        <v>31.54646605702959</v>
      </c>
      <c r="P30" s="20">
        <f t="shared" si="3"/>
        <v>0.26603971506056223</v>
      </c>
      <c r="R30" s="84">
        <f t="shared" si="4"/>
        <v>118.57803279427002</v>
      </c>
    </row>
    <row r="31" spans="1:18" ht="12" customHeight="1">
      <c r="A31" s="30" t="s">
        <v>71</v>
      </c>
      <c r="B31" s="19" t="s">
        <v>72</v>
      </c>
      <c r="C31" s="51">
        <v>21658528</v>
      </c>
      <c r="D31" s="51">
        <v>229713</v>
      </c>
      <c r="E31" s="51">
        <v>228</v>
      </c>
      <c r="F31" s="51">
        <v>21228</v>
      </c>
      <c r="G31" s="129">
        <f>(VLOOKUP(A31,BDLPopul!$A$8:$BG$38,59,FALSE))/C31</f>
        <v>1</v>
      </c>
      <c r="H31" s="128">
        <f>VLOOKUP(A31,BDLand!$A$8:$G$38,7,FALSE)/D31</f>
        <v>1</v>
      </c>
      <c r="I31" s="128">
        <f>VLOOKUP(A31,BDMotorw!$A$8:$AH$38,34,FALSE)/E31</f>
        <v>1</v>
      </c>
      <c r="J31" s="128">
        <f>VLOOKUP(A31,BDRail!$A31:$U61,21,FALSE)/F31</f>
        <v>1</v>
      </c>
      <c r="K31" s="20"/>
      <c r="L31" s="20">
        <f t="shared" si="0"/>
        <v>0.9925428687100861</v>
      </c>
      <c r="M31" s="20">
        <f t="shared" si="1"/>
        <v>0.01052703119990426</v>
      </c>
      <c r="O31" s="20">
        <f t="shared" si="2"/>
        <v>92.41096498674433</v>
      </c>
      <c r="P31" s="20">
        <f t="shared" si="3"/>
        <v>0.9801220101384546</v>
      </c>
      <c r="R31" s="84">
        <f t="shared" si="4"/>
        <v>94.28516453139352</v>
      </c>
    </row>
    <row r="32" spans="1:18" ht="12" customHeight="1">
      <c r="A32" s="30" t="s">
        <v>77</v>
      </c>
      <c r="B32" s="19" t="s">
        <v>78</v>
      </c>
      <c r="C32" s="51">
        <v>5384822</v>
      </c>
      <c r="D32" s="51">
        <v>48103.67</v>
      </c>
      <c r="E32" s="51">
        <v>327.5</v>
      </c>
      <c r="F32" s="51">
        <v>3658</v>
      </c>
      <c r="G32" s="129">
        <f>(VLOOKUP(A32,BDLPopul!$A$8:$BG$38,59,FALSE))/C32</f>
        <v>1</v>
      </c>
      <c r="H32" s="128">
        <f>VLOOKUP(A32,BDLand!$A$8:$G$38,7,FALSE)/D32</f>
        <v>1</v>
      </c>
      <c r="I32" s="128">
        <f>VLOOKUP(A32,BDMotorw!$A$8:$AH$38,34,FALSE)/E32</f>
        <v>1</v>
      </c>
      <c r="J32" s="128">
        <f>VLOOKUP(A32,BDRail!$A32:$U62,21,FALSE)/F32</f>
        <v>1</v>
      </c>
      <c r="K32" s="20"/>
      <c r="L32" s="20">
        <f t="shared" si="0"/>
        <v>6.808212346376067</v>
      </c>
      <c r="M32" s="20">
        <f t="shared" si="1"/>
        <v>0.06081909485587453</v>
      </c>
      <c r="O32" s="20">
        <f t="shared" si="2"/>
        <v>76.04409393295771</v>
      </c>
      <c r="P32" s="20">
        <f t="shared" si="3"/>
        <v>0.679316790787142</v>
      </c>
      <c r="R32" s="84">
        <f t="shared" si="4"/>
        <v>111.94202022423653</v>
      </c>
    </row>
    <row r="33" spans="1:18" ht="12" customHeight="1">
      <c r="A33" s="30" t="s">
        <v>75</v>
      </c>
      <c r="B33" s="19" t="s">
        <v>76</v>
      </c>
      <c r="C33" s="51">
        <v>1997590</v>
      </c>
      <c r="D33" s="51">
        <v>20140.6</v>
      </c>
      <c r="E33" s="51">
        <v>569</v>
      </c>
      <c r="F33" s="51">
        <v>2192.8</v>
      </c>
      <c r="G33" s="129">
        <f>(VLOOKUP(A33,BDLPopul!$A$8:$BG$38,59,FALSE))/C33</f>
        <v>1</v>
      </c>
      <c r="H33" s="128">
        <f>VLOOKUP(A33,BDLand!$A$8:$G$38,7,FALSE)/D33</f>
        <v>1</v>
      </c>
      <c r="I33" s="128">
        <f>VLOOKUP(A33,BDMotorw!$A$8:$AH$38,34,FALSE)/E33</f>
        <v>1</v>
      </c>
      <c r="J33" s="128">
        <f>VLOOKUP(A33,BDRail!$A33:$U63,21,FALSE)/F33</f>
        <v>1</v>
      </c>
      <c r="K33" s="20"/>
      <c r="L33" s="20">
        <f t="shared" si="0"/>
        <v>28.251392709253945</v>
      </c>
      <c r="M33" s="20">
        <f t="shared" si="1"/>
        <v>0.2848432360994999</v>
      </c>
      <c r="O33" s="20">
        <f t="shared" si="2"/>
        <v>108.87461148128656</v>
      </c>
      <c r="P33" s="20">
        <f t="shared" si="3"/>
        <v>1.0977227559208849</v>
      </c>
      <c r="R33" s="84">
        <f t="shared" si="4"/>
        <v>99.18224879099928</v>
      </c>
    </row>
    <row r="34" spans="1:18" ht="12" customHeight="1">
      <c r="A34" s="30" t="s">
        <v>39</v>
      </c>
      <c r="B34" s="19" t="s">
        <v>40</v>
      </c>
      <c r="C34" s="51">
        <v>43038035</v>
      </c>
      <c r="D34" s="51">
        <v>499110</v>
      </c>
      <c r="E34" s="51">
        <v>11432</v>
      </c>
      <c r="F34" s="51"/>
      <c r="G34" s="129">
        <f>(VLOOKUP(A34,BDLPopul!$A$8:$BG$38,59,FALSE))/C34</f>
        <v>1</v>
      </c>
      <c r="H34" s="128">
        <f>VLOOKUP(A34,BDLand!$A$8:$G$38,7,FALSE)/D34</f>
        <v>0</v>
      </c>
      <c r="I34" s="128">
        <f>VLOOKUP(A34,BDMotorw!$A$8:$AH$38,34,FALSE)/E34</f>
        <v>0</v>
      </c>
      <c r="J34" s="128" t="e">
        <f>VLOOKUP(A34,BDRail!$A34:$U64,21,FALSE)/F34</f>
        <v>#DIV/0!</v>
      </c>
      <c r="K34" s="20"/>
      <c r="L34" s="20">
        <f t="shared" si="0"/>
        <v>22.904770491474824</v>
      </c>
      <c r="M34" s="20">
        <f t="shared" si="1"/>
        <v>0.2656255100866013</v>
      </c>
      <c r="O34" s="20">
        <f t="shared" si="2"/>
        <v>0</v>
      </c>
      <c r="P34" s="20">
        <f t="shared" si="3"/>
        <v>0</v>
      </c>
      <c r="R34" s="84">
        <f t="shared" si="4"/>
        <v>86.22955861433351</v>
      </c>
    </row>
    <row r="35" spans="1:18" ht="12" customHeight="1">
      <c r="A35" s="30" t="s">
        <v>73</v>
      </c>
      <c r="B35" s="19" t="s">
        <v>74</v>
      </c>
      <c r="C35" s="51">
        <v>9011392</v>
      </c>
      <c r="D35" s="51">
        <v>411000</v>
      </c>
      <c r="E35" s="51">
        <v>1677</v>
      </c>
      <c r="F35" s="51">
        <v>15360</v>
      </c>
      <c r="G35" s="129">
        <f>(VLOOKUP(A35,BDLPopul!$A$8:$BG$38,59,FALSE))/C35</f>
        <v>1</v>
      </c>
      <c r="H35" s="128">
        <f>VLOOKUP(A35,BDLand!$A$8:$G$38,7,FALSE)/D35</f>
        <v>1</v>
      </c>
      <c r="I35" s="128">
        <f>VLOOKUP(A35,BDMotorw!$A$8:$AH$38,34,FALSE)/E35</f>
        <v>1</v>
      </c>
      <c r="J35" s="128">
        <f>VLOOKUP(A35,BDRail!$A35:$U65,21,FALSE)/F35</f>
        <v>1</v>
      </c>
      <c r="K35" s="20"/>
      <c r="L35" s="20">
        <f t="shared" si="0"/>
        <v>4.08029197080292</v>
      </c>
      <c r="M35" s="20">
        <f t="shared" si="1"/>
        <v>0.18609777490536425</v>
      </c>
      <c r="O35" s="20">
        <f t="shared" si="2"/>
        <v>37.372262773722625</v>
      </c>
      <c r="P35" s="20">
        <f t="shared" si="3"/>
        <v>1.7045091368791858</v>
      </c>
      <c r="R35" s="84">
        <f t="shared" si="4"/>
        <v>21.92552798053528</v>
      </c>
    </row>
    <row r="36" spans="1:18" ht="12" customHeight="1">
      <c r="A36" s="30" t="s">
        <v>154</v>
      </c>
      <c r="B36" s="19" t="s">
        <v>91</v>
      </c>
      <c r="C36" s="51">
        <v>7415102</v>
      </c>
      <c r="D36" s="51">
        <v>41262.9</v>
      </c>
      <c r="E36" s="51">
        <v>1341</v>
      </c>
      <c r="F36" s="51">
        <v>7487</v>
      </c>
      <c r="G36" s="129">
        <f>(VLOOKUP(A36,BDLPopul!$A$8:$BG$38,59,FALSE))/C36</f>
        <v>1</v>
      </c>
      <c r="H36" s="128">
        <f>VLOOKUP(A36,BDLand!$A$8:$G$38,7,FALSE)/D36</f>
        <v>1</v>
      </c>
      <c r="I36" s="128">
        <f>VLOOKUP(A36,BDMotorw!$A$8:$AH$38,34,FALSE)/E36</f>
        <v>1</v>
      </c>
      <c r="J36" s="128">
        <f>VLOOKUP(A36,BDRail!$A36:$U66,21,FALSE)/F36</f>
        <v>1</v>
      </c>
      <c r="K36" s="20"/>
      <c r="L36" s="20">
        <f t="shared" si="0"/>
        <v>32.49892760809347</v>
      </c>
      <c r="M36" s="20">
        <f t="shared" si="1"/>
        <v>0.18084714141491243</v>
      </c>
      <c r="O36" s="20">
        <f t="shared" si="2"/>
        <v>181.44628710051887</v>
      </c>
      <c r="P36" s="20">
        <f t="shared" si="3"/>
        <v>1.0096961579220354</v>
      </c>
      <c r="R36" s="84">
        <f t="shared" si="4"/>
        <v>179.70385018988</v>
      </c>
    </row>
    <row r="37" spans="1:18" ht="12" customHeight="1">
      <c r="A37" s="30" t="s">
        <v>79</v>
      </c>
      <c r="B37" s="19" t="s">
        <v>80</v>
      </c>
      <c r="C37" s="51">
        <v>71610009</v>
      </c>
      <c r="D37" s="86">
        <v>783562</v>
      </c>
      <c r="E37" s="51">
        <v>1851</v>
      </c>
      <c r="F37" s="51">
        <v>10984</v>
      </c>
      <c r="G37" s="129">
        <f>(VLOOKUP(A37,BDLPopul!$A$8:$BG$38,59,FALSE))/C37</f>
        <v>1</v>
      </c>
      <c r="H37" s="128">
        <f>VLOOKUP(A37,BDLand!$A$8:$G$38,7,FALSE)/D37</f>
        <v>1</v>
      </c>
      <c r="I37" s="128">
        <f>VLOOKUP(A37,BDMotorw!$A$8:$AH$38,34,FALSE)/E37</f>
        <v>1</v>
      </c>
      <c r="J37" s="128">
        <f>VLOOKUP(A37,BDRail!$A37:$U67,21,FALSE)/F37</f>
        <v>1</v>
      </c>
      <c r="K37" s="20"/>
      <c r="L37" s="20">
        <f t="shared" si="0"/>
        <v>2.3622891360224205</v>
      </c>
      <c r="M37" s="20">
        <f t="shared" si="1"/>
        <v>0.025848341954544368</v>
      </c>
      <c r="O37" s="20">
        <f t="shared" si="2"/>
        <v>14.018035586207601</v>
      </c>
      <c r="P37" s="20">
        <f t="shared" si="3"/>
        <v>0.15338637926997048</v>
      </c>
      <c r="R37" s="84">
        <f t="shared" si="4"/>
        <v>91.39035456032835</v>
      </c>
    </row>
    <row r="38" spans="1:18" ht="12" customHeight="1">
      <c r="A38" s="30" t="s">
        <v>81</v>
      </c>
      <c r="B38" s="19" t="s">
        <v>82</v>
      </c>
      <c r="C38" s="51">
        <v>60059900</v>
      </c>
      <c r="D38" s="86">
        <v>244820</v>
      </c>
      <c r="E38" s="51">
        <v>3657</v>
      </c>
      <c r="F38" s="51">
        <v>33000</v>
      </c>
      <c r="G38" s="129">
        <f>(VLOOKUP(A38,BDLPopul!$A$8:$BG$38,59,FALSE))/C38</f>
        <v>1</v>
      </c>
      <c r="H38" s="128">
        <f>VLOOKUP(A38,BDLand!$A$8:$G$38,7,FALSE)/D38</f>
        <v>1</v>
      </c>
      <c r="I38" s="128">
        <f>VLOOKUP(A38,BDMotorw!$A$8:$AH$38,34,FALSE)/E38</f>
        <v>1</v>
      </c>
      <c r="J38" s="128">
        <f>VLOOKUP(A38,BDRail!$A38:$U68,21,FALSE)/F38</f>
        <v>1</v>
      </c>
      <c r="K38" s="20"/>
      <c r="L38" s="20">
        <f t="shared" si="0"/>
        <v>14.937505105792011</v>
      </c>
      <c r="M38" s="20">
        <f t="shared" si="1"/>
        <v>0.0608892122697507</v>
      </c>
      <c r="O38" s="20">
        <f t="shared" si="2"/>
        <v>134.79290907605588</v>
      </c>
      <c r="P38" s="20">
        <f t="shared" si="3"/>
        <v>0.5494514642881523</v>
      </c>
      <c r="R38" s="84">
        <f t="shared" si="4"/>
        <v>245.32268605506087</v>
      </c>
    </row>
    <row r="39" spans="11:18" ht="12" customHeight="1">
      <c r="K39" s="90"/>
      <c r="R39" s="80"/>
    </row>
    <row r="40" spans="2:18" ht="12" customHeight="1">
      <c r="B40" s="19" t="s">
        <v>147</v>
      </c>
      <c r="R40" s="80"/>
    </row>
    <row r="44" ht="12" customHeight="1">
      <c r="B44" s="23"/>
    </row>
    <row r="46" ht="12" customHeight="1">
      <c r="B46" s="22"/>
    </row>
  </sheetData>
  <sheetProtection/>
  <conditionalFormatting sqref="G8:J38">
    <cfRule type="cellIs" priority="1" dxfId="4" operator="not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U41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9.00390625" style="19" customWidth="1"/>
    <col min="2" max="2" width="25.25390625" style="19" customWidth="1"/>
    <col min="3" max="3" width="12.625" style="19" customWidth="1"/>
    <col min="4" max="4" width="10.125" style="19" customWidth="1"/>
    <col min="5" max="6" width="9.00390625" style="19" customWidth="1"/>
    <col min="7" max="7" width="7.875" style="20" customWidth="1"/>
    <col min="8" max="8" width="7.25390625" style="19" customWidth="1"/>
    <col min="9" max="16384" width="9.00390625" style="19" customWidth="1"/>
  </cols>
  <sheetData>
    <row r="1" ht="15">
      <c r="A1" s="28" t="s">
        <v>214</v>
      </c>
    </row>
    <row r="2" spans="3:4" ht="11.25">
      <c r="C2" s="19" t="s">
        <v>95</v>
      </c>
      <c r="D2" s="88" t="s">
        <v>217</v>
      </c>
    </row>
    <row r="3" spans="1:4" ht="12.75">
      <c r="A3" s="16" t="s">
        <v>213</v>
      </c>
      <c r="D3" s="19" t="s">
        <v>124</v>
      </c>
    </row>
    <row r="4" ht="11.25">
      <c r="D4" s="19" t="s">
        <v>125</v>
      </c>
    </row>
    <row r="5" ht="11.25">
      <c r="D5" s="19" t="s">
        <v>126</v>
      </c>
    </row>
    <row r="7" spans="2:8" s="21" customFormat="1" ht="11.25">
      <c r="B7" s="69">
        <v>2005</v>
      </c>
      <c r="C7" s="69" t="s">
        <v>216</v>
      </c>
      <c r="D7" s="69" t="s">
        <v>219</v>
      </c>
      <c r="E7" s="69" t="s">
        <v>220</v>
      </c>
      <c r="F7" s="69"/>
      <c r="G7" s="87" t="s">
        <v>148</v>
      </c>
      <c r="H7" s="69" t="s">
        <v>149</v>
      </c>
    </row>
    <row r="8" spans="1:8" ht="11.25">
      <c r="A8" s="30" t="s">
        <v>49</v>
      </c>
      <c r="B8" s="19" t="s">
        <v>50</v>
      </c>
      <c r="C8" s="19">
        <v>1912</v>
      </c>
      <c r="D8" s="19">
        <v>1.781</v>
      </c>
      <c r="E8" s="19">
        <v>0.303</v>
      </c>
      <c r="G8" s="20">
        <f>D8*1000/C8</f>
        <v>0.9314853556485355</v>
      </c>
      <c r="H8" s="20">
        <f>E8*1000/C8</f>
        <v>0.15847280334728034</v>
      </c>
    </row>
    <row r="9" spans="1:21" ht="11.25">
      <c r="A9" s="30" t="s">
        <v>37</v>
      </c>
      <c r="B9" s="19" t="s">
        <v>38</v>
      </c>
      <c r="C9" s="19">
        <v>3093</v>
      </c>
      <c r="D9" s="19">
        <v>1.854</v>
      </c>
      <c r="E9" s="19">
        <v>0.613</v>
      </c>
      <c r="G9" s="20">
        <f aca="true" t="shared" si="0" ref="G9:G33">D9*1000/C9</f>
        <v>0.5994180407371484</v>
      </c>
      <c r="H9" s="20">
        <f aca="true" t="shared" si="1" ref="H9:H33">E9*1000/C9</f>
        <v>0.19818946007112836</v>
      </c>
      <c r="U9" s="89"/>
    </row>
    <row r="10" spans="1:21" ht="11.25">
      <c r="A10" s="30" t="s">
        <v>33</v>
      </c>
      <c r="B10" s="19" t="s">
        <v>34</v>
      </c>
      <c r="C10" s="22">
        <v>3181</v>
      </c>
      <c r="D10" s="19">
        <v>5.957</v>
      </c>
      <c r="E10" s="19">
        <v>1.976</v>
      </c>
      <c r="G10" s="20">
        <f t="shared" si="0"/>
        <v>1.8726815466834328</v>
      </c>
      <c r="H10" s="20">
        <f t="shared" si="1"/>
        <v>0.621188305564288</v>
      </c>
      <c r="U10" s="89"/>
    </row>
    <row r="11" spans="1:21" ht="11.25">
      <c r="A11" s="30" t="s">
        <v>81</v>
      </c>
      <c r="B11" s="19" t="s">
        <v>82</v>
      </c>
      <c r="C11" s="22">
        <v>33000</v>
      </c>
      <c r="D11" s="19">
        <v>44.4</v>
      </c>
      <c r="E11" s="19">
        <v>22.322</v>
      </c>
      <c r="G11" s="20">
        <f t="shared" si="0"/>
        <v>1.3454545454545455</v>
      </c>
      <c r="H11" s="20">
        <f t="shared" si="1"/>
        <v>0.6764242424242424</v>
      </c>
      <c r="U11" s="89"/>
    </row>
    <row r="12" spans="1:21" ht="11.25">
      <c r="A12" s="30" t="s">
        <v>47</v>
      </c>
      <c r="B12" s="19" t="s">
        <v>48</v>
      </c>
      <c r="C12" s="19">
        <v>12735</v>
      </c>
      <c r="D12" s="19">
        <v>9.851</v>
      </c>
      <c r="E12" s="19">
        <v>9.09</v>
      </c>
      <c r="G12" s="20">
        <f t="shared" si="0"/>
        <v>0.7735374950922654</v>
      </c>
      <c r="H12" s="20">
        <f t="shared" si="1"/>
        <v>0.7137809187279152</v>
      </c>
      <c r="U12" s="89"/>
    </row>
    <row r="13" spans="1:21" ht="11.25">
      <c r="A13" s="30" t="s">
        <v>65</v>
      </c>
      <c r="B13" s="19" t="s">
        <v>66</v>
      </c>
      <c r="C13" s="19">
        <v>4311</v>
      </c>
      <c r="D13" s="19">
        <v>2.709</v>
      </c>
      <c r="E13" s="19">
        <v>3.149</v>
      </c>
      <c r="G13" s="20">
        <f t="shared" si="0"/>
        <v>0.6283924843423799</v>
      </c>
      <c r="H13" s="20">
        <f t="shared" si="1"/>
        <v>0.7304569705404779</v>
      </c>
      <c r="U13" s="89"/>
    </row>
    <row r="14" spans="1:21" ht="11.25">
      <c r="A14" s="30" t="s">
        <v>71</v>
      </c>
      <c r="B14" s="19" t="s">
        <v>72</v>
      </c>
      <c r="C14" s="19">
        <v>21228</v>
      </c>
      <c r="D14" s="19">
        <v>7.96</v>
      </c>
      <c r="E14" s="19">
        <v>16.582</v>
      </c>
      <c r="G14" s="20">
        <f t="shared" si="0"/>
        <v>0.3749764462031279</v>
      </c>
      <c r="H14" s="20">
        <f t="shared" si="1"/>
        <v>0.7811381194648578</v>
      </c>
      <c r="U14" s="89"/>
    </row>
    <row r="15" spans="1:21" ht="11.25">
      <c r="A15" s="30" t="s">
        <v>79</v>
      </c>
      <c r="B15" s="19" t="s">
        <v>80</v>
      </c>
      <c r="C15" s="19">
        <v>10984</v>
      </c>
      <c r="D15" s="19">
        <v>5.036</v>
      </c>
      <c r="E15" s="19">
        <v>9.077</v>
      </c>
      <c r="G15" s="20">
        <f t="shared" si="0"/>
        <v>0.45848506919155135</v>
      </c>
      <c r="H15" s="20">
        <f t="shared" si="1"/>
        <v>0.8263838310269482</v>
      </c>
      <c r="U15" s="89"/>
    </row>
    <row r="16" spans="1:21" ht="11.25">
      <c r="A16" s="30" t="s">
        <v>43</v>
      </c>
      <c r="B16" s="19" t="s">
        <v>44</v>
      </c>
      <c r="C16" s="19">
        <v>49111</v>
      </c>
      <c r="D16" s="19">
        <v>76.8</v>
      </c>
      <c r="E16" s="19">
        <v>40.701</v>
      </c>
      <c r="G16" s="20">
        <f t="shared" si="0"/>
        <v>1.5638044429964775</v>
      </c>
      <c r="H16" s="20">
        <f t="shared" si="1"/>
        <v>0.8287552686770785</v>
      </c>
      <c r="U16" s="89"/>
    </row>
    <row r="17" spans="1:21" ht="11.25">
      <c r="A17" s="30" t="s">
        <v>25</v>
      </c>
      <c r="B17" s="19" t="s">
        <v>26</v>
      </c>
      <c r="C17" s="19">
        <v>6025</v>
      </c>
      <c r="D17" s="19">
        <v>2.389</v>
      </c>
      <c r="E17" s="19">
        <v>5.163</v>
      </c>
      <c r="G17" s="20">
        <f t="shared" si="0"/>
        <v>0.3965145228215768</v>
      </c>
      <c r="H17" s="20">
        <f t="shared" si="1"/>
        <v>0.8569294605809129</v>
      </c>
      <c r="U17" s="89"/>
    </row>
    <row r="18" spans="1:21" ht="11.25">
      <c r="A18" s="30" t="s">
        <v>69</v>
      </c>
      <c r="B18" s="19" t="s">
        <v>70</v>
      </c>
      <c r="C18" s="22">
        <v>2801.2</v>
      </c>
      <c r="D18" s="19">
        <v>3.809</v>
      </c>
      <c r="E18" s="19">
        <v>2.422</v>
      </c>
      <c r="G18" s="20">
        <f t="shared" si="0"/>
        <v>1.3597743824075397</v>
      </c>
      <c r="H18" s="20">
        <f t="shared" si="1"/>
        <v>0.8646294445237755</v>
      </c>
      <c r="U18" s="89"/>
    </row>
    <row r="19" spans="1:21" ht="11.25">
      <c r="A19" s="30" t="s">
        <v>29</v>
      </c>
      <c r="B19" s="19" t="s">
        <v>30</v>
      </c>
      <c r="C19" s="19">
        <v>16156</v>
      </c>
      <c r="D19" s="19">
        <v>6.667</v>
      </c>
      <c r="E19" s="19">
        <v>14.866</v>
      </c>
      <c r="G19" s="20">
        <f t="shared" si="0"/>
        <v>0.4126640257489478</v>
      </c>
      <c r="H19" s="20">
        <f t="shared" si="1"/>
        <v>0.9201535033424115</v>
      </c>
      <c r="U19" s="89"/>
    </row>
    <row r="20" spans="1:21" ht="11.25">
      <c r="A20" s="30" t="s">
        <v>53</v>
      </c>
      <c r="B20" s="19" t="s">
        <v>54</v>
      </c>
      <c r="C20" s="22">
        <v>22250</v>
      </c>
      <c r="D20" s="19">
        <v>50</v>
      </c>
      <c r="E20" s="19">
        <v>22.761</v>
      </c>
      <c r="G20" s="20">
        <f t="shared" si="0"/>
        <v>2.247191011235955</v>
      </c>
      <c r="H20" s="20">
        <f t="shared" si="1"/>
        <v>1.0229662921348315</v>
      </c>
      <c r="U20" s="89"/>
    </row>
    <row r="21" spans="1:21" ht="11.25">
      <c r="A21" s="30" t="s">
        <v>41</v>
      </c>
      <c r="B21" s="19" t="s">
        <v>42</v>
      </c>
      <c r="C21" s="19">
        <v>8587</v>
      </c>
      <c r="D21" s="19">
        <v>3.468</v>
      </c>
      <c r="E21" s="19">
        <v>9.706</v>
      </c>
      <c r="G21" s="20">
        <f t="shared" si="0"/>
        <v>0.4038663095376732</v>
      </c>
      <c r="H21" s="20">
        <f t="shared" si="1"/>
        <v>1.1303132642366367</v>
      </c>
      <c r="U21" s="89"/>
    </row>
    <row r="22" spans="1:21" ht="11.25">
      <c r="A22" s="30" t="s">
        <v>67</v>
      </c>
      <c r="B22" s="19" t="s">
        <v>68</v>
      </c>
      <c r="C22" s="19">
        <v>38920</v>
      </c>
      <c r="D22" s="19">
        <v>17.882</v>
      </c>
      <c r="E22" s="19">
        <v>49.972</v>
      </c>
      <c r="G22" s="20">
        <f t="shared" si="0"/>
        <v>0.4594552929085303</v>
      </c>
      <c r="H22" s="20">
        <f t="shared" si="1"/>
        <v>1.283967112024666</v>
      </c>
      <c r="U22" s="89"/>
    </row>
    <row r="23" spans="1:21" ht="11.25">
      <c r="A23" s="30" t="s">
        <v>23</v>
      </c>
      <c r="B23" s="19" t="s">
        <v>24</v>
      </c>
      <c r="C23" s="19">
        <v>6215</v>
      </c>
      <c r="D23" s="19">
        <v>8.51</v>
      </c>
      <c r="E23" s="19">
        <v>8.13</v>
      </c>
      <c r="G23" s="20">
        <f t="shared" si="0"/>
        <v>1.3692679002413515</v>
      </c>
      <c r="H23" s="20">
        <f t="shared" si="1"/>
        <v>1.3081255028157686</v>
      </c>
      <c r="U23" s="89"/>
    </row>
    <row r="24" spans="1:21" ht="11.25">
      <c r="A24" s="30" t="s">
        <v>31</v>
      </c>
      <c r="B24" s="19" t="s">
        <v>32</v>
      </c>
      <c r="C24" s="19">
        <v>70557</v>
      </c>
      <c r="D24" s="19">
        <v>74.947</v>
      </c>
      <c r="E24" s="19">
        <v>95.421</v>
      </c>
      <c r="G24" s="20">
        <f t="shared" si="0"/>
        <v>1.0622191986620746</v>
      </c>
      <c r="H24" s="20">
        <f t="shared" si="1"/>
        <v>1.3523959352013266</v>
      </c>
      <c r="U24" s="89"/>
    </row>
    <row r="25" spans="1:21" ht="11.25">
      <c r="A25" s="30" t="s">
        <v>73</v>
      </c>
      <c r="B25" s="19" t="s">
        <v>74</v>
      </c>
      <c r="C25" s="19">
        <v>15360</v>
      </c>
      <c r="D25" s="19">
        <v>8.922</v>
      </c>
      <c r="E25" s="19">
        <v>21.675</v>
      </c>
      <c r="G25" s="20">
        <f t="shared" si="0"/>
        <v>0.580859375</v>
      </c>
      <c r="H25" s="20">
        <f t="shared" si="1"/>
        <v>1.4111328125</v>
      </c>
      <c r="U25" s="89"/>
    </row>
    <row r="26" spans="1:21" ht="11.25">
      <c r="A26" s="30" t="s">
        <v>75</v>
      </c>
      <c r="B26" s="19" t="s">
        <v>76</v>
      </c>
      <c r="C26" s="19">
        <v>2192.8</v>
      </c>
      <c r="D26" s="19">
        <v>0.716</v>
      </c>
      <c r="E26" s="19">
        <v>3.245</v>
      </c>
      <c r="G26" s="20">
        <f t="shared" si="0"/>
        <v>0.3265231667274717</v>
      </c>
      <c r="H26" s="20">
        <f t="shared" si="1"/>
        <v>1.479843122947829</v>
      </c>
      <c r="U26" s="89"/>
    </row>
    <row r="27" spans="1:21" ht="11.25">
      <c r="A27" s="30" t="s">
        <v>154</v>
      </c>
      <c r="B27" s="19" t="s">
        <v>91</v>
      </c>
      <c r="C27" s="22">
        <v>7487</v>
      </c>
      <c r="D27" s="19">
        <v>13.516</v>
      </c>
      <c r="E27" s="19">
        <v>11.677</v>
      </c>
      <c r="G27" s="20">
        <f t="shared" si="0"/>
        <v>1.8052624549218645</v>
      </c>
      <c r="H27" s="20">
        <f t="shared" si="1"/>
        <v>1.5596367036196073</v>
      </c>
      <c r="U27" s="89"/>
    </row>
    <row r="28" spans="1:21" ht="11.25">
      <c r="A28" s="30" t="s">
        <v>63</v>
      </c>
      <c r="B28" s="19" t="s">
        <v>64</v>
      </c>
      <c r="C28" s="19">
        <v>2810</v>
      </c>
      <c r="D28" s="19">
        <v>14.73</v>
      </c>
      <c r="E28" s="19">
        <v>5.025</v>
      </c>
      <c r="G28" s="20">
        <f t="shared" si="0"/>
        <v>5.241992882562277</v>
      </c>
      <c r="H28" s="20">
        <f t="shared" si="1"/>
        <v>1.7882562277580072</v>
      </c>
      <c r="U28" s="89"/>
    </row>
    <row r="29" spans="1:21" ht="11.25">
      <c r="A29" s="30" t="s">
        <v>77</v>
      </c>
      <c r="B29" s="19" t="s">
        <v>78</v>
      </c>
      <c r="C29" s="19">
        <v>3658</v>
      </c>
      <c r="D29" s="19">
        <v>2.182</v>
      </c>
      <c r="E29" s="19">
        <v>9.463</v>
      </c>
      <c r="G29" s="20">
        <f t="shared" si="0"/>
        <v>0.5965008201202843</v>
      </c>
      <c r="H29" s="20">
        <f t="shared" si="1"/>
        <v>2.5869327501366866</v>
      </c>
      <c r="U29" s="89"/>
    </row>
    <row r="30" spans="1:21" ht="11.25">
      <c r="A30" s="30" t="s">
        <v>20</v>
      </c>
      <c r="B30" s="19" t="s">
        <v>21</v>
      </c>
      <c r="C30" s="22">
        <v>5642</v>
      </c>
      <c r="D30" s="19">
        <v>8.7</v>
      </c>
      <c r="E30" s="19">
        <v>18.957</v>
      </c>
      <c r="G30" s="20">
        <f t="shared" si="0"/>
        <v>1.5420063807160582</v>
      </c>
      <c r="H30" s="20">
        <f t="shared" si="1"/>
        <v>3.359978730946473</v>
      </c>
      <c r="U30" s="89"/>
    </row>
    <row r="31" spans="1:21" ht="11.25">
      <c r="A31" s="30" t="s">
        <v>55</v>
      </c>
      <c r="B31" s="19" t="s">
        <v>87</v>
      </c>
      <c r="C31" s="19">
        <v>2187.4</v>
      </c>
      <c r="D31" s="19">
        <v>0.4</v>
      </c>
      <c r="E31" s="19">
        <v>12.457</v>
      </c>
      <c r="G31" s="20">
        <f t="shared" si="0"/>
        <v>0.1828655024229679</v>
      </c>
      <c r="H31" s="20">
        <f t="shared" si="1"/>
        <v>5.694888909207278</v>
      </c>
      <c r="U31" s="89"/>
    </row>
    <row r="32" spans="1:21" ht="11.25">
      <c r="A32" s="30" t="s">
        <v>35</v>
      </c>
      <c r="B32" s="19" t="s">
        <v>36</v>
      </c>
      <c r="C32" s="19">
        <v>1798</v>
      </c>
      <c r="D32" s="19">
        <v>0.248</v>
      </c>
      <c r="E32" s="19">
        <v>10.639</v>
      </c>
      <c r="G32" s="20">
        <f t="shared" si="0"/>
        <v>0.13793103448275862</v>
      </c>
      <c r="H32" s="20">
        <f t="shared" si="1"/>
        <v>5.9171301446051165</v>
      </c>
      <c r="U32" s="89"/>
    </row>
    <row r="33" spans="1:21" ht="11.25">
      <c r="A33" s="30" t="s">
        <v>59</v>
      </c>
      <c r="B33" s="19" t="s">
        <v>60</v>
      </c>
      <c r="C33" s="19">
        <v>2583</v>
      </c>
      <c r="D33" s="19">
        <v>0.895</v>
      </c>
      <c r="E33" s="19">
        <v>19.779</v>
      </c>
      <c r="G33" s="20">
        <f t="shared" si="0"/>
        <v>0.3464963221060782</v>
      </c>
      <c r="H33" s="20">
        <f t="shared" si="1"/>
        <v>7.657375145180024</v>
      </c>
      <c r="U33" s="89"/>
    </row>
    <row r="34" spans="1:21" ht="11.25">
      <c r="A34" s="30" t="s">
        <v>27</v>
      </c>
      <c r="B34" s="19" t="s">
        <v>28</v>
      </c>
      <c r="H34" s="20"/>
      <c r="U34" s="89"/>
    </row>
    <row r="35" spans="1:21" ht="11.25">
      <c r="A35" s="30" t="s">
        <v>51</v>
      </c>
      <c r="B35" s="19" t="s">
        <v>52</v>
      </c>
      <c r="H35" s="20"/>
      <c r="U35" s="89"/>
    </row>
    <row r="36" spans="1:21" ht="11.25">
      <c r="A36" s="30" t="s">
        <v>57</v>
      </c>
      <c r="B36" s="19" t="s">
        <v>97</v>
      </c>
      <c r="D36" s="19">
        <v>0.272</v>
      </c>
      <c r="E36" s="19">
        <v>0.392</v>
      </c>
      <c r="H36" s="20"/>
      <c r="U36" s="89"/>
    </row>
    <row r="37" spans="1:21" ht="11.25">
      <c r="A37" s="30" t="s">
        <v>61</v>
      </c>
      <c r="B37" s="19" t="s">
        <v>62</v>
      </c>
      <c r="H37" s="20"/>
      <c r="U37" s="89"/>
    </row>
    <row r="38" spans="1:21" ht="11.25">
      <c r="A38" s="30" t="s">
        <v>39</v>
      </c>
      <c r="B38" s="19" t="s">
        <v>40</v>
      </c>
      <c r="D38" s="19">
        <v>21.153</v>
      </c>
      <c r="E38" s="19">
        <v>11.635</v>
      </c>
      <c r="H38" s="20"/>
      <c r="I38" s="22" t="s">
        <v>150</v>
      </c>
      <c r="U38" s="89"/>
    </row>
    <row r="39" spans="1:9" ht="11.25">
      <c r="A39" s="30"/>
      <c r="H39" s="20"/>
      <c r="I39" s="22"/>
    </row>
    <row r="40" spans="2:3" ht="11.25">
      <c r="B40" s="31" t="s">
        <v>218</v>
      </c>
      <c r="C40" s="34">
        <v>354784.4</v>
      </c>
    </row>
    <row r="41" spans="2:3" ht="11.25">
      <c r="B41" s="33" t="s">
        <v>170</v>
      </c>
      <c r="C41" s="34">
        <v>107483.2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62"/>
  <sheetViews>
    <sheetView zoomScale="70" zoomScaleNormal="70" zoomScalePageLayoutView="0" workbookViewId="0" topLeftCell="A1">
      <selection activeCell="Z18" sqref="Z18"/>
    </sheetView>
  </sheetViews>
  <sheetFormatPr defaultColWidth="9.00390625" defaultRowHeight="12.75"/>
  <cols>
    <col min="1" max="1" width="14.125" style="0" customWidth="1"/>
    <col min="2" max="5" width="0" style="0" hidden="1" customWidth="1"/>
  </cols>
  <sheetData>
    <row r="1" spans="1:24" s="14" customFormat="1" ht="12.75">
      <c r="A1" s="14" t="s">
        <v>101</v>
      </c>
      <c r="B1" s="14">
        <v>1986</v>
      </c>
      <c r="C1" s="14">
        <v>1987</v>
      </c>
      <c r="D1" s="14">
        <v>1988</v>
      </c>
      <c r="E1" s="14">
        <v>1989</v>
      </c>
      <c r="F1" s="14">
        <v>1990</v>
      </c>
      <c r="G1" s="14">
        <v>1991</v>
      </c>
      <c r="H1" s="14">
        <v>1992</v>
      </c>
      <c r="I1" s="14">
        <v>1993</v>
      </c>
      <c r="J1" s="14">
        <v>1994</v>
      </c>
      <c r="K1" s="14">
        <v>1995</v>
      </c>
      <c r="L1" s="14">
        <v>1996</v>
      </c>
      <c r="M1" s="14">
        <v>1997</v>
      </c>
      <c r="N1" s="14">
        <v>1998</v>
      </c>
      <c r="O1" s="14">
        <v>1999</v>
      </c>
      <c r="P1" s="14">
        <v>2000</v>
      </c>
      <c r="Q1" s="14">
        <v>2001</v>
      </c>
      <c r="R1" s="14">
        <v>2002</v>
      </c>
      <c r="S1" s="14">
        <v>2003</v>
      </c>
      <c r="T1" s="14">
        <v>2004</v>
      </c>
      <c r="U1" s="14">
        <v>2005</v>
      </c>
      <c r="W1" s="123" t="s">
        <v>270</v>
      </c>
      <c r="X1" s="123"/>
    </row>
    <row r="2" spans="1:21" ht="12.75">
      <c r="A2" t="s">
        <v>24</v>
      </c>
      <c r="B2" t="s">
        <v>85</v>
      </c>
      <c r="C2" t="s">
        <v>85</v>
      </c>
      <c r="D2" t="s">
        <v>85</v>
      </c>
      <c r="E2" t="s">
        <v>85</v>
      </c>
      <c r="F2" t="s">
        <v>85</v>
      </c>
      <c r="G2" t="s">
        <v>85</v>
      </c>
      <c r="H2" t="s">
        <v>85</v>
      </c>
      <c r="I2">
        <v>4606</v>
      </c>
      <c r="J2">
        <v>4606</v>
      </c>
      <c r="K2">
        <v>4624</v>
      </c>
      <c r="L2">
        <v>4789</v>
      </c>
      <c r="M2">
        <v>4855</v>
      </c>
      <c r="N2">
        <v>4740</v>
      </c>
      <c r="O2">
        <v>4791</v>
      </c>
      <c r="P2">
        <v>4987</v>
      </c>
      <c r="Q2">
        <v>5023</v>
      </c>
      <c r="R2">
        <v>5152</v>
      </c>
      <c r="S2">
        <v>5161</v>
      </c>
      <c r="T2">
        <v>5483</v>
      </c>
      <c r="U2">
        <v>5444</v>
      </c>
    </row>
    <row r="3" spans="1:23" ht="12.75">
      <c r="A3" t="s">
        <v>26</v>
      </c>
      <c r="B3" t="s">
        <v>85</v>
      </c>
      <c r="C3" t="s">
        <v>85</v>
      </c>
      <c r="D3" t="s">
        <v>85</v>
      </c>
      <c r="E3" t="s">
        <v>85</v>
      </c>
      <c r="F3">
        <v>3754</v>
      </c>
      <c r="G3">
        <v>3754</v>
      </c>
      <c r="H3">
        <v>3762</v>
      </c>
      <c r="I3">
        <v>3759</v>
      </c>
      <c r="J3">
        <v>3714</v>
      </c>
      <c r="K3">
        <v>3727</v>
      </c>
      <c r="L3">
        <v>3796</v>
      </c>
      <c r="M3">
        <v>3845</v>
      </c>
      <c r="N3">
        <v>3842</v>
      </c>
      <c r="O3">
        <v>3839</v>
      </c>
      <c r="P3">
        <v>3867</v>
      </c>
      <c r="Q3">
        <v>3928.5</v>
      </c>
      <c r="R3">
        <v>3920.2</v>
      </c>
      <c r="S3">
        <v>3912.9</v>
      </c>
      <c r="T3">
        <v>3894.3</v>
      </c>
      <c r="U3">
        <v>3910</v>
      </c>
      <c r="W3" s="116" t="s">
        <v>266</v>
      </c>
    </row>
    <row r="4" spans="1:24" ht="12.75">
      <c r="A4" t="s">
        <v>30</v>
      </c>
      <c r="B4" t="s">
        <v>85</v>
      </c>
      <c r="C4" t="s">
        <v>85</v>
      </c>
      <c r="D4" t="s">
        <v>85</v>
      </c>
      <c r="E4" t="s">
        <v>85</v>
      </c>
      <c r="F4" t="s">
        <v>85</v>
      </c>
      <c r="G4" t="s">
        <v>85</v>
      </c>
      <c r="H4" t="s">
        <v>85</v>
      </c>
      <c r="I4">
        <v>6723</v>
      </c>
      <c r="J4">
        <v>6547</v>
      </c>
      <c r="K4">
        <v>6547</v>
      </c>
      <c r="L4">
        <v>6651</v>
      </c>
      <c r="M4">
        <v>6733</v>
      </c>
      <c r="N4">
        <v>6733</v>
      </c>
      <c r="O4">
        <v>6760</v>
      </c>
      <c r="P4">
        <v>6082</v>
      </c>
      <c r="Q4">
        <v>6253</v>
      </c>
      <c r="R4">
        <v>6526</v>
      </c>
      <c r="S4">
        <v>6473</v>
      </c>
      <c r="T4">
        <v>6462</v>
      </c>
      <c r="U4">
        <v>6426</v>
      </c>
      <c r="W4" s="116" t="s">
        <v>267</v>
      </c>
      <c r="X4" s="116"/>
    </row>
    <row r="5" spans="1:21" ht="12.75">
      <c r="A5" t="s">
        <v>34</v>
      </c>
      <c r="B5" t="s">
        <v>85</v>
      </c>
      <c r="C5" t="s">
        <v>85</v>
      </c>
      <c r="D5" t="s">
        <v>85</v>
      </c>
      <c r="E5" t="s">
        <v>85</v>
      </c>
      <c r="F5" t="s">
        <v>85</v>
      </c>
      <c r="G5" t="s">
        <v>85</v>
      </c>
      <c r="H5">
        <v>730</v>
      </c>
      <c r="I5">
        <v>740</v>
      </c>
      <c r="J5">
        <v>740</v>
      </c>
      <c r="K5" t="s">
        <v>85</v>
      </c>
      <c r="L5" t="s">
        <v>85</v>
      </c>
      <c r="M5">
        <v>584</v>
      </c>
      <c r="N5">
        <v>617</v>
      </c>
      <c r="O5">
        <v>612</v>
      </c>
      <c r="P5">
        <v>624</v>
      </c>
      <c r="Q5" s="118">
        <f>P5</f>
        <v>624</v>
      </c>
      <c r="R5" s="118">
        <f>P5</f>
        <v>624</v>
      </c>
      <c r="S5" s="118">
        <f>P5</f>
        <v>624</v>
      </c>
      <c r="T5" s="118">
        <f>P5</f>
        <v>624</v>
      </c>
      <c r="U5" s="118">
        <f>P5</f>
        <v>624</v>
      </c>
    </row>
    <row r="6" spans="1:27" ht="12.75">
      <c r="A6" t="s">
        <v>96</v>
      </c>
      <c r="B6" t="s">
        <v>85</v>
      </c>
      <c r="C6" t="s">
        <v>85</v>
      </c>
      <c r="D6" t="s">
        <v>85</v>
      </c>
      <c r="E6" t="s">
        <v>85</v>
      </c>
      <c r="F6" t="s">
        <v>85</v>
      </c>
      <c r="G6">
        <v>42142</v>
      </c>
      <c r="H6">
        <v>42189</v>
      </c>
      <c r="I6">
        <v>42562</v>
      </c>
      <c r="J6" t="s">
        <v>85</v>
      </c>
      <c r="K6" t="s">
        <v>85</v>
      </c>
      <c r="L6" t="s">
        <v>85</v>
      </c>
      <c r="M6">
        <v>34817</v>
      </c>
      <c r="N6">
        <v>45754</v>
      </c>
      <c r="O6">
        <v>45300</v>
      </c>
      <c r="P6">
        <v>44308.67</v>
      </c>
      <c r="Q6">
        <v>45725.4</v>
      </c>
      <c r="R6">
        <v>45042</v>
      </c>
      <c r="S6" s="121">
        <f>R6-($R6-$U6)/3</f>
        <v>44402.333333333336</v>
      </c>
      <c r="T6" s="121">
        <f>S6-($R6-$U6)/3</f>
        <v>43762.66666666667</v>
      </c>
      <c r="U6">
        <v>43123</v>
      </c>
      <c r="W6" s="122" t="s">
        <v>269</v>
      </c>
      <c r="X6" s="122"/>
      <c r="Y6" s="122"/>
      <c r="Z6" s="122"/>
      <c r="AA6" s="122"/>
    </row>
    <row r="7" spans="1:21" ht="12.75">
      <c r="A7" t="s">
        <v>36</v>
      </c>
      <c r="B7" t="s">
        <v>85</v>
      </c>
      <c r="C7" t="s">
        <v>85</v>
      </c>
      <c r="D7" t="s">
        <v>85</v>
      </c>
      <c r="E7" t="s">
        <v>85</v>
      </c>
      <c r="F7" t="s">
        <v>85</v>
      </c>
      <c r="G7" t="s">
        <v>85</v>
      </c>
      <c r="H7">
        <v>264.4</v>
      </c>
      <c r="I7">
        <v>264.4</v>
      </c>
      <c r="J7">
        <v>264.4</v>
      </c>
      <c r="K7">
        <v>264.4</v>
      </c>
      <c r="L7">
        <v>264.4</v>
      </c>
      <c r="M7">
        <v>264.4</v>
      </c>
      <c r="N7">
        <v>264.4</v>
      </c>
      <c r="O7">
        <v>264.2</v>
      </c>
      <c r="P7">
        <v>264.2</v>
      </c>
      <c r="Q7">
        <v>264.2</v>
      </c>
      <c r="R7">
        <v>263</v>
      </c>
      <c r="S7">
        <v>263</v>
      </c>
      <c r="T7">
        <v>131</v>
      </c>
      <c r="U7">
        <v>131</v>
      </c>
    </row>
    <row r="8" spans="1:21" ht="12.75">
      <c r="A8" t="s">
        <v>50</v>
      </c>
      <c r="B8" t="s">
        <v>85</v>
      </c>
      <c r="C8" t="s">
        <v>85</v>
      </c>
      <c r="D8" t="s">
        <v>85</v>
      </c>
      <c r="E8" t="s">
        <v>85</v>
      </c>
      <c r="F8" t="s">
        <v>85</v>
      </c>
      <c r="G8" t="s">
        <v>85</v>
      </c>
      <c r="H8">
        <v>37</v>
      </c>
      <c r="I8">
        <v>37</v>
      </c>
      <c r="J8">
        <v>37</v>
      </c>
      <c r="K8">
        <v>37</v>
      </c>
      <c r="L8">
        <v>37</v>
      </c>
      <c r="M8">
        <v>37</v>
      </c>
      <c r="N8">
        <v>37</v>
      </c>
      <c r="O8">
        <v>47</v>
      </c>
      <c r="P8">
        <v>47</v>
      </c>
      <c r="Q8">
        <v>47</v>
      </c>
      <c r="R8" s="118">
        <f>Q8+($U8-$Q8)/4</f>
        <v>59.5</v>
      </c>
      <c r="S8" s="118">
        <f>R8+($U8-$Q8)/4</f>
        <v>72</v>
      </c>
      <c r="T8" s="118">
        <f>S8+($U8-$Q8)/4</f>
        <v>84.5</v>
      </c>
      <c r="U8">
        <v>97</v>
      </c>
    </row>
    <row r="9" spans="1:21" ht="12.75">
      <c r="A9" t="s">
        <v>38</v>
      </c>
      <c r="B9" t="s">
        <v>85</v>
      </c>
      <c r="C9" t="s">
        <v>85</v>
      </c>
      <c r="D9" t="s">
        <v>85</v>
      </c>
      <c r="E9" t="s">
        <v>85</v>
      </c>
      <c r="F9" t="s">
        <v>85</v>
      </c>
      <c r="G9" t="s">
        <v>85</v>
      </c>
      <c r="H9" t="s">
        <v>85</v>
      </c>
      <c r="I9" t="s">
        <v>85</v>
      </c>
      <c r="J9" t="s">
        <v>85</v>
      </c>
      <c r="K9" t="s">
        <v>85</v>
      </c>
      <c r="L9" t="s">
        <v>85</v>
      </c>
      <c r="M9" t="s">
        <v>85</v>
      </c>
      <c r="N9" t="s">
        <v>85</v>
      </c>
      <c r="O9" s="118">
        <f>P9</f>
        <v>82</v>
      </c>
      <c r="P9">
        <v>82</v>
      </c>
      <c r="Q9">
        <v>82</v>
      </c>
      <c r="R9">
        <v>82</v>
      </c>
      <c r="S9">
        <v>83</v>
      </c>
      <c r="T9">
        <v>83</v>
      </c>
      <c r="U9">
        <v>83</v>
      </c>
    </row>
    <row r="10" spans="1:21" ht="12.75">
      <c r="A10" t="s">
        <v>44</v>
      </c>
      <c r="B10" t="s">
        <v>85</v>
      </c>
      <c r="C10" t="s">
        <v>85</v>
      </c>
      <c r="D10" t="s">
        <v>85</v>
      </c>
      <c r="E10" t="s">
        <v>85</v>
      </c>
      <c r="F10" t="s">
        <v>85</v>
      </c>
      <c r="G10" t="s">
        <v>85</v>
      </c>
      <c r="H10" t="s">
        <v>85</v>
      </c>
      <c r="I10">
        <v>28514</v>
      </c>
      <c r="J10">
        <v>29053</v>
      </c>
      <c r="K10">
        <v>29827</v>
      </c>
      <c r="L10">
        <v>29907</v>
      </c>
      <c r="M10">
        <v>29979</v>
      </c>
      <c r="N10">
        <v>30002</v>
      </c>
      <c r="O10">
        <v>30079</v>
      </c>
      <c r="P10">
        <v>30059</v>
      </c>
      <c r="Q10">
        <v>30529</v>
      </c>
      <c r="R10">
        <v>30566</v>
      </c>
      <c r="S10">
        <v>30529</v>
      </c>
      <c r="T10">
        <v>30614</v>
      </c>
      <c r="U10">
        <v>30970</v>
      </c>
    </row>
    <row r="11" spans="1:21" ht="12.75">
      <c r="A11" t="s">
        <v>54</v>
      </c>
      <c r="B11" t="s">
        <v>85</v>
      </c>
      <c r="C11" t="s">
        <v>85</v>
      </c>
      <c r="D11" t="s">
        <v>85</v>
      </c>
      <c r="E11" t="s">
        <v>85</v>
      </c>
      <c r="F11" t="s">
        <v>85</v>
      </c>
      <c r="G11" t="s">
        <v>85</v>
      </c>
      <c r="H11" t="s">
        <v>85</v>
      </c>
      <c r="I11" t="s">
        <v>85</v>
      </c>
      <c r="J11" t="s">
        <v>85</v>
      </c>
      <c r="K11">
        <v>16116</v>
      </c>
      <c r="L11">
        <v>16317</v>
      </c>
      <c r="M11">
        <v>16420</v>
      </c>
      <c r="N11">
        <v>16582</v>
      </c>
      <c r="O11">
        <v>16820</v>
      </c>
      <c r="P11">
        <v>16853</v>
      </c>
      <c r="Q11">
        <v>17050</v>
      </c>
      <c r="R11">
        <v>17112</v>
      </c>
      <c r="S11" s="118">
        <f>R11</f>
        <v>17112</v>
      </c>
      <c r="T11" s="118">
        <f>S11</f>
        <v>17112</v>
      </c>
      <c r="U11" s="118">
        <f>T11</f>
        <v>17112</v>
      </c>
    </row>
    <row r="12" spans="1:21" ht="12.75">
      <c r="A12" t="s">
        <v>60</v>
      </c>
      <c r="B12" t="s">
        <v>85</v>
      </c>
      <c r="C12" t="s">
        <v>85</v>
      </c>
      <c r="D12" t="s">
        <v>85</v>
      </c>
      <c r="E12" t="s">
        <v>85</v>
      </c>
      <c r="F12">
        <v>522</v>
      </c>
      <c r="G12" t="s">
        <v>85</v>
      </c>
      <c r="H12">
        <v>271</v>
      </c>
      <c r="I12">
        <v>271</v>
      </c>
      <c r="J12">
        <v>271</v>
      </c>
      <c r="K12">
        <v>271</v>
      </c>
      <c r="L12">
        <v>271</v>
      </c>
      <c r="M12">
        <v>271</v>
      </c>
      <c r="N12">
        <v>270</v>
      </c>
      <c r="O12">
        <v>258</v>
      </c>
      <c r="P12">
        <v>258</v>
      </c>
      <c r="Q12">
        <v>257</v>
      </c>
      <c r="R12">
        <v>257</v>
      </c>
      <c r="S12">
        <v>257</v>
      </c>
      <c r="T12">
        <v>257</v>
      </c>
      <c r="U12">
        <v>257</v>
      </c>
    </row>
    <row r="13" spans="1:21" ht="12.75">
      <c r="A13" t="s">
        <v>87</v>
      </c>
      <c r="B13" t="s">
        <v>85</v>
      </c>
      <c r="C13" t="s">
        <v>85</v>
      </c>
      <c r="D13" t="s">
        <v>85</v>
      </c>
      <c r="E13" t="s">
        <v>85</v>
      </c>
      <c r="F13" t="s">
        <v>85</v>
      </c>
      <c r="G13" t="s">
        <v>85</v>
      </c>
      <c r="H13">
        <v>240.3</v>
      </c>
      <c r="I13">
        <v>280.8</v>
      </c>
      <c r="J13">
        <v>208.7</v>
      </c>
      <c r="K13">
        <v>208.7</v>
      </c>
      <c r="L13">
        <v>281</v>
      </c>
      <c r="M13">
        <v>280.8</v>
      </c>
      <c r="N13">
        <v>281</v>
      </c>
      <c r="O13">
        <v>281</v>
      </c>
      <c r="P13">
        <v>242.5</v>
      </c>
      <c r="Q13">
        <v>242.5</v>
      </c>
      <c r="R13">
        <v>242.5</v>
      </c>
      <c r="S13">
        <v>242.5</v>
      </c>
      <c r="T13">
        <v>242.5</v>
      </c>
      <c r="U13">
        <v>242.5</v>
      </c>
    </row>
    <row r="14" spans="1:21" ht="12.75">
      <c r="A14" t="s">
        <v>48</v>
      </c>
      <c r="B14" t="s">
        <v>85</v>
      </c>
      <c r="C14" t="s">
        <v>85</v>
      </c>
      <c r="D14" t="s">
        <v>85</v>
      </c>
      <c r="E14" t="s">
        <v>85</v>
      </c>
      <c r="F14">
        <v>4996</v>
      </c>
      <c r="G14">
        <v>4631</v>
      </c>
      <c r="H14">
        <v>5482</v>
      </c>
      <c r="I14">
        <v>5482</v>
      </c>
      <c r="J14">
        <v>5544</v>
      </c>
      <c r="K14">
        <v>5574</v>
      </c>
      <c r="L14">
        <v>5707</v>
      </c>
      <c r="M14">
        <v>4910</v>
      </c>
      <c r="N14">
        <v>5579</v>
      </c>
      <c r="O14">
        <v>5606</v>
      </c>
      <c r="P14">
        <v>5803</v>
      </c>
      <c r="Q14">
        <v>5803</v>
      </c>
      <c r="R14">
        <v>5873</v>
      </c>
      <c r="S14">
        <v>5873</v>
      </c>
      <c r="T14">
        <v>5890</v>
      </c>
      <c r="U14">
        <v>5890</v>
      </c>
    </row>
    <row r="15" spans="1:21" ht="12.75">
      <c r="A15" t="s">
        <v>64</v>
      </c>
      <c r="B15" t="s">
        <v>85</v>
      </c>
      <c r="C15" t="s">
        <v>85</v>
      </c>
      <c r="D15" t="s">
        <v>85</v>
      </c>
      <c r="E15" t="s">
        <v>85</v>
      </c>
      <c r="F15" t="s">
        <v>85</v>
      </c>
      <c r="G15" t="s">
        <v>85</v>
      </c>
      <c r="H15" t="s">
        <v>85</v>
      </c>
      <c r="I15" t="s">
        <v>85</v>
      </c>
      <c r="J15" t="s">
        <v>85</v>
      </c>
      <c r="K15" t="s">
        <v>85</v>
      </c>
      <c r="L15" t="s">
        <v>85</v>
      </c>
      <c r="M15" t="s">
        <v>85</v>
      </c>
      <c r="N15" t="s">
        <v>85</v>
      </c>
      <c r="O15" s="118">
        <f aca="true" t="shared" si="0" ref="O15:T15">P15</f>
        <v>2014</v>
      </c>
      <c r="P15" s="118">
        <f t="shared" si="0"/>
        <v>2014</v>
      </c>
      <c r="Q15" s="118">
        <f t="shared" si="0"/>
        <v>2014</v>
      </c>
      <c r="R15" s="118">
        <f t="shared" si="0"/>
        <v>2014</v>
      </c>
      <c r="S15" s="118">
        <f t="shared" si="0"/>
        <v>2014</v>
      </c>
      <c r="T15" s="118">
        <f t="shared" si="0"/>
        <v>2014</v>
      </c>
      <c r="U15">
        <v>2014</v>
      </c>
    </row>
    <row r="16" spans="1:21" ht="12.75">
      <c r="A16" t="s">
        <v>21</v>
      </c>
      <c r="B16">
        <v>1</v>
      </c>
      <c r="C16">
        <v>0</v>
      </c>
      <c r="D16">
        <v>0</v>
      </c>
      <c r="E16">
        <v>3238</v>
      </c>
      <c r="F16">
        <v>3246</v>
      </c>
      <c r="G16">
        <v>3246</v>
      </c>
      <c r="H16">
        <v>3247</v>
      </c>
      <c r="I16">
        <v>3273</v>
      </c>
      <c r="J16">
        <v>3308</v>
      </c>
      <c r="K16">
        <v>3418</v>
      </c>
      <c r="L16">
        <v>3418</v>
      </c>
      <c r="M16">
        <v>3418</v>
      </c>
      <c r="N16">
        <v>3384</v>
      </c>
      <c r="O16">
        <v>3236</v>
      </c>
      <c r="P16">
        <v>3337</v>
      </c>
      <c r="Q16">
        <v>3584</v>
      </c>
      <c r="R16">
        <v>3538</v>
      </c>
      <c r="S16" s="118">
        <f>R16</f>
        <v>3538</v>
      </c>
      <c r="T16" s="118">
        <f>S16</f>
        <v>3538</v>
      </c>
      <c r="U16" s="118">
        <f>T16</f>
        <v>3538</v>
      </c>
    </row>
    <row r="17" spans="1:21" ht="12.75">
      <c r="A17" t="s">
        <v>68</v>
      </c>
      <c r="B17" t="s">
        <v>85</v>
      </c>
      <c r="C17" t="s">
        <v>85</v>
      </c>
      <c r="D17" t="s">
        <v>85</v>
      </c>
      <c r="E17" t="s">
        <v>85</v>
      </c>
      <c r="F17">
        <v>26542</v>
      </c>
      <c r="G17">
        <v>27167</v>
      </c>
      <c r="H17">
        <v>27110</v>
      </c>
      <c r="I17">
        <v>26896</v>
      </c>
      <c r="J17">
        <v>26983</v>
      </c>
      <c r="K17">
        <v>26897</v>
      </c>
      <c r="L17">
        <v>26877</v>
      </c>
      <c r="M17">
        <v>26831</v>
      </c>
      <c r="N17">
        <v>26697</v>
      </c>
      <c r="O17">
        <v>26006</v>
      </c>
      <c r="P17">
        <v>25682</v>
      </c>
      <c r="Q17">
        <v>25776</v>
      </c>
      <c r="R17">
        <v>25940</v>
      </c>
      <c r="S17">
        <v>24816</v>
      </c>
      <c r="T17">
        <v>25210</v>
      </c>
      <c r="U17">
        <v>25515</v>
      </c>
    </row>
    <row r="18" spans="1:21" ht="12.75">
      <c r="A18" t="s">
        <v>70</v>
      </c>
      <c r="B18" t="s">
        <v>85</v>
      </c>
      <c r="C18" t="s">
        <v>85</v>
      </c>
      <c r="D18" t="s">
        <v>85</v>
      </c>
      <c r="E18" t="s">
        <v>85</v>
      </c>
      <c r="F18" t="s">
        <v>85</v>
      </c>
      <c r="G18" t="s">
        <v>85</v>
      </c>
      <c r="H18">
        <v>870</v>
      </c>
      <c r="I18">
        <v>872</v>
      </c>
      <c r="J18">
        <v>872</v>
      </c>
      <c r="K18">
        <v>930</v>
      </c>
      <c r="L18">
        <v>1045</v>
      </c>
      <c r="M18" t="s">
        <v>85</v>
      </c>
      <c r="N18">
        <v>1304</v>
      </c>
      <c r="O18">
        <v>901</v>
      </c>
      <c r="P18">
        <v>904</v>
      </c>
      <c r="Q18">
        <v>905</v>
      </c>
      <c r="R18">
        <v>1047</v>
      </c>
      <c r="S18" s="118">
        <f>R18</f>
        <v>1047</v>
      </c>
      <c r="T18" s="118">
        <f>S18</f>
        <v>1047</v>
      </c>
      <c r="U18" s="118">
        <f>T18</f>
        <v>1047</v>
      </c>
    </row>
    <row r="19" spans="1:21" ht="12.75">
      <c r="A19" t="s">
        <v>72</v>
      </c>
      <c r="B19" t="s">
        <v>85</v>
      </c>
      <c r="C19" t="s">
        <v>85</v>
      </c>
      <c r="D19" t="s">
        <v>85</v>
      </c>
      <c r="E19" t="s">
        <v>85</v>
      </c>
      <c r="F19">
        <v>8039</v>
      </c>
      <c r="G19">
        <v>8632</v>
      </c>
      <c r="H19">
        <v>8633</v>
      </c>
      <c r="I19">
        <v>8594</v>
      </c>
      <c r="J19">
        <v>8594</v>
      </c>
      <c r="K19">
        <v>8680</v>
      </c>
      <c r="L19">
        <v>8702</v>
      </c>
      <c r="M19">
        <v>8700</v>
      </c>
      <c r="N19">
        <v>8700</v>
      </c>
      <c r="O19">
        <v>8700</v>
      </c>
      <c r="P19">
        <v>8700</v>
      </c>
      <c r="Q19">
        <v>8700</v>
      </c>
      <c r="R19">
        <v>8700</v>
      </c>
      <c r="S19" s="118">
        <f>R19-(R19-T19)/2</f>
        <v>8678</v>
      </c>
      <c r="T19">
        <v>8656</v>
      </c>
      <c r="U19">
        <v>8531</v>
      </c>
    </row>
    <row r="20" spans="1:21" ht="12.75">
      <c r="A20" t="s">
        <v>76</v>
      </c>
      <c r="B20" t="s">
        <v>85</v>
      </c>
      <c r="C20" t="s">
        <v>85</v>
      </c>
      <c r="D20" t="s">
        <v>85</v>
      </c>
      <c r="E20" t="s">
        <v>85</v>
      </c>
      <c r="F20" t="s">
        <v>85</v>
      </c>
      <c r="G20" t="s">
        <v>85</v>
      </c>
      <c r="H20">
        <v>1094</v>
      </c>
      <c r="I20">
        <v>1094</v>
      </c>
      <c r="J20">
        <v>1094</v>
      </c>
      <c r="K20">
        <v>1094</v>
      </c>
      <c r="L20">
        <v>1094</v>
      </c>
      <c r="M20">
        <v>1094</v>
      </c>
      <c r="N20">
        <v>1095</v>
      </c>
      <c r="O20">
        <v>1294</v>
      </c>
      <c r="P20">
        <v>1279</v>
      </c>
      <c r="Q20">
        <v>1286</v>
      </c>
      <c r="R20">
        <v>1283.1</v>
      </c>
      <c r="S20">
        <v>1282.8</v>
      </c>
      <c r="T20">
        <v>1282.9</v>
      </c>
      <c r="U20">
        <v>1281.6</v>
      </c>
    </row>
    <row r="21" spans="1:21" ht="12.75">
      <c r="A21" t="s">
        <v>78</v>
      </c>
      <c r="B21" t="s">
        <v>85</v>
      </c>
      <c r="C21" t="s">
        <v>85</v>
      </c>
      <c r="D21" t="s">
        <v>85</v>
      </c>
      <c r="E21" t="s">
        <v>85</v>
      </c>
      <c r="F21">
        <v>1330</v>
      </c>
      <c r="G21">
        <v>1373</v>
      </c>
      <c r="H21">
        <v>1373</v>
      </c>
      <c r="I21">
        <v>1415</v>
      </c>
      <c r="J21">
        <v>1430</v>
      </c>
      <c r="K21">
        <v>1472</v>
      </c>
      <c r="L21">
        <v>1516</v>
      </c>
      <c r="M21">
        <v>1516</v>
      </c>
      <c r="N21">
        <v>1535</v>
      </c>
      <c r="O21">
        <v>1535</v>
      </c>
      <c r="P21">
        <v>1536</v>
      </c>
      <c r="Q21">
        <v>1536</v>
      </c>
      <c r="R21">
        <v>1556</v>
      </c>
      <c r="S21">
        <v>1558</v>
      </c>
      <c r="T21">
        <v>1556</v>
      </c>
      <c r="U21">
        <v>1556</v>
      </c>
    </row>
    <row r="22" spans="1:21" ht="12.75">
      <c r="A22" t="s">
        <v>42</v>
      </c>
      <c r="B22" t="s">
        <v>85</v>
      </c>
      <c r="C22" t="s">
        <v>85</v>
      </c>
      <c r="D22" t="s">
        <v>85</v>
      </c>
      <c r="E22">
        <v>2777</v>
      </c>
      <c r="F22">
        <v>2812</v>
      </c>
      <c r="G22">
        <v>2828</v>
      </c>
      <c r="H22">
        <v>2851</v>
      </c>
      <c r="I22">
        <v>2913</v>
      </c>
      <c r="J22">
        <v>3235</v>
      </c>
      <c r="K22">
        <v>3371</v>
      </c>
      <c r="L22">
        <v>3382</v>
      </c>
      <c r="M22">
        <v>3396</v>
      </c>
      <c r="N22">
        <v>3578</v>
      </c>
      <c r="O22">
        <v>3623</v>
      </c>
      <c r="P22">
        <v>3769</v>
      </c>
      <c r="Q22">
        <v>3830</v>
      </c>
      <c r="R22">
        <v>3832</v>
      </c>
      <c r="S22">
        <v>3838</v>
      </c>
      <c r="T22">
        <v>4095</v>
      </c>
      <c r="U22">
        <v>4093</v>
      </c>
    </row>
    <row r="23" spans="1:21" ht="12.75">
      <c r="A23" t="s">
        <v>74</v>
      </c>
      <c r="B23" t="s">
        <v>85</v>
      </c>
      <c r="C23" t="s">
        <v>85</v>
      </c>
      <c r="D23" t="s">
        <v>85</v>
      </c>
      <c r="E23" t="s">
        <v>85</v>
      </c>
      <c r="F23">
        <v>11025</v>
      </c>
      <c r="G23">
        <v>11394</v>
      </c>
      <c r="H23">
        <v>11380</v>
      </c>
      <c r="I23">
        <v>8529</v>
      </c>
      <c r="J23">
        <v>8558</v>
      </c>
      <c r="K23">
        <v>8824</v>
      </c>
      <c r="L23">
        <v>8909</v>
      </c>
      <c r="M23">
        <v>8928</v>
      </c>
      <c r="N23">
        <v>8953</v>
      </c>
      <c r="O23">
        <v>8986</v>
      </c>
      <c r="P23">
        <v>9139</v>
      </c>
      <c r="Q23" t="s">
        <v>85</v>
      </c>
      <c r="R23">
        <v>10714</v>
      </c>
      <c r="S23">
        <v>10672</v>
      </c>
      <c r="T23">
        <v>10796</v>
      </c>
      <c r="U23">
        <v>10942</v>
      </c>
    </row>
    <row r="24" spans="1:21" ht="12.75">
      <c r="A24" t="s">
        <v>82</v>
      </c>
      <c r="B24" t="s">
        <v>85</v>
      </c>
      <c r="C24" t="s">
        <v>85</v>
      </c>
      <c r="D24" t="s">
        <v>85</v>
      </c>
      <c r="E24" t="s">
        <v>85</v>
      </c>
      <c r="F24" t="s">
        <v>85</v>
      </c>
      <c r="G24" t="s">
        <v>85</v>
      </c>
      <c r="H24">
        <v>12385</v>
      </c>
      <c r="I24">
        <v>12498</v>
      </c>
      <c r="J24">
        <v>12357</v>
      </c>
      <c r="K24">
        <v>12553</v>
      </c>
      <c r="L24">
        <v>12553</v>
      </c>
      <c r="M24">
        <v>12553</v>
      </c>
      <c r="N24">
        <v>12553</v>
      </c>
      <c r="O24">
        <v>12553</v>
      </c>
      <c r="P24">
        <v>12162</v>
      </c>
      <c r="Q24">
        <v>12000</v>
      </c>
      <c r="R24">
        <v>12000</v>
      </c>
      <c r="S24">
        <v>12000</v>
      </c>
      <c r="T24">
        <v>12000</v>
      </c>
      <c r="U24" s="118">
        <f>T24</f>
        <v>12000</v>
      </c>
    </row>
    <row r="25" spans="1:21" ht="12.75">
      <c r="A25" t="s">
        <v>80</v>
      </c>
      <c r="B25" t="s">
        <v>85</v>
      </c>
      <c r="C25" t="s">
        <v>85</v>
      </c>
      <c r="D25" t="s">
        <v>85</v>
      </c>
      <c r="E25" t="s">
        <v>85</v>
      </c>
      <c r="F25">
        <v>721</v>
      </c>
      <c r="G25" t="s">
        <v>85</v>
      </c>
      <c r="H25">
        <v>1033</v>
      </c>
      <c r="I25">
        <v>1033</v>
      </c>
      <c r="J25">
        <v>1093</v>
      </c>
      <c r="K25">
        <v>1093</v>
      </c>
      <c r="L25">
        <v>1824</v>
      </c>
      <c r="M25" t="s">
        <v>85</v>
      </c>
      <c r="N25">
        <v>2065</v>
      </c>
      <c r="O25">
        <v>2133</v>
      </c>
      <c r="P25" s="121">
        <f>O25-($O25-$S25)/4</f>
        <v>2037.75</v>
      </c>
      <c r="Q25" s="121">
        <f>P25-($O25-$S25)/4</f>
        <v>1942.5</v>
      </c>
      <c r="R25" s="121">
        <f>Q25-($O25-$S25)/4</f>
        <v>1847.25</v>
      </c>
      <c r="S25">
        <v>1752</v>
      </c>
      <c r="T25">
        <v>1920</v>
      </c>
      <c r="U25">
        <v>2336</v>
      </c>
    </row>
    <row r="26" spans="1:21" ht="12.75">
      <c r="A26" t="s">
        <v>66</v>
      </c>
      <c r="B26" t="s">
        <v>85</v>
      </c>
      <c r="C26" t="s">
        <v>85</v>
      </c>
      <c r="D26" t="s">
        <v>85</v>
      </c>
      <c r="E26" t="s">
        <v>85</v>
      </c>
      <c r="F26">
        <v>2426</v>
      </c>
      <c r="G26">
        <v>2426</v>
      </c>
      <c r="H26">
        <v>2426</v>
      </c>
      <c r="I26">
        <v>2422</v>
      </c>
      <c r="J26">
        <v>2422</v>
      </c>
      <c r="K26">
        <v>2422</v>
      </c>
      <c r="L26">
        <v>2551</v>
      </c>
      <c r="M26">
        <v>2587</v>
      </c>
      <c r="N26">
        <v>2587</v>
      </c>
      <c r="O26">
        <v>2456</v>
      </c>
      <c r="P26">
        <v>2733</v>
      </c>
      <c r="Q26">
        <v>2745</v>
      </c>
      <c r="R26">
        <v>2745</v>
      </c>
      <c r="S26">
        <v>2755</v>
      </c>
      <c r="T26">
        <v>2755</v>
      </c>
      <c r="U26">
        <v>2752</v>
      </c>
    </row>
    <row r="27" spans="1:21" ht="12.75">
      <c r="A27" t="s">
        <v>91</v>
      </c>
      <c r="B27" t="s">
        <v>85</v>
      </c>
      <c r="C27" t="s">
        <v>85</v>
      </c>
      <c r="D27" t="s">
        <v>85</v>
      </c>
      <c r="E27" t="s">
        <v>85</v>
      </c>
      <c r="F27" t="s">
        <v>85</v>
      </c>
      <c r="G27" t="s">
        <v>85</v>
      </c>
      <c r="H27" t="s">
        <v>85</v>
      </c>
      <c r="I27" t="s">
        <v>85</v>
      </c>
      <c r="J27" t="s">
        <v>85</v>
      </c>
      <c r="K27" t="s">
        <v>85</v>
      </c>
      <c r="L27" t="s">
        <v>85</v>
      </c>
      <c r="M27" t="s">
        <v>85</v>
      </c>
      <c r="N27" t="s">
        <v>85</v>
      </c>
      <c r="O27" t="s">
        <v>85</v>
      </c>
      <c r="P27" t="s">
        <v>85</v>
      </c>
      <c r="Q27" t="s">
        <v>85</v>
      </c>
      <c r="R27" t="s">
        <v>85</v>
      </c>
      <c r="S27" t="s">
        <v>85</v>
      </c>
      <c r="T27" t="s">
        <v>85</v>
      </c>
      <c r="U27" t="s">
        <v>85</v>
      </c>
    </row>
    <row r="28" spans="1:21" ht="12.75">
      <c r="A28" s="14" t="s">
        <v>268</v>
      </c>
      <c r="F28" s="14">
        <f aca="true" t="shared" si="1" ref="F28:T28">SUM(F2:F27)</f>
        <v>65413</v>
      </c>
      <c r="G28" s="14">
        <f t="shared" si="1"/>
        <v>107593</v>
      </c>
      <c r="H28" s="14">
        <f t="shared" si="1"/>
        <v>125377.70000000001</v>
      </c>
      <c r="I28" s="14">
        <f t="shared" si="1"/>
        <v>162778.2</v>
      </c>
      <c r="J28" s="14">
        <f t="shared" si="1"/>
        <v>120931.1</v>
      </c>
      <c r="K28" s="14">
        <f t="shared" si="1"/>
        <v>137950.1</v>
      </c>
      <c r="L28" s="14">
        <f t="shared" si="1"/>
        <v>139891.4</v>
      </c>
      <c r="M28" s="14">
        <f t="shared" si="1"/>
        <v>172019.2</v>
      </c>
      <c r="N28" s="14">
        <f t="shared" si="1"/>
        <v>187152.4</v>
      </c>
      <c r="O28" s="14">
        <f t="shared" si="1"/>
        <v>188176.2</v>
      </c>
      <c r="P28" s="14">
        <f t="shared" si="1"/>
        <v>186770.12</v>
      </c>
      <c r="Q28" s="14">
        <f t="shared" si="1"/>
        <v>180147.1</v>
      </c>
      <c r="R28" s="14">
        <f t="shared" si="1"/>
        <v>190935.55000000002</v>
      </c>
      <c r="S28" s="14">
        <f t="shared" si="1"/>
        <v>188955.53333333333</v>
      </c>
      <c r="T28" s="14">
        <f t="shared" si="1"/>
        <v>189509.86666666667</v>
      </c>
      <c r="U28" s="14">
        <f>SUM(U2:U27)</f>
        <v>189915.1</v>
      </c>
    </row>
    <row r="30" spans="1:21" ht="12.75">
      <c r="A30" t="s">
        <v>103</v>
      </c>
      <c r="B30">
        <v>1986</v>
      </c>
      <c r="C30">
        <v>1987</v>
      </c>
      <c r="D30">
        <v>1988</v>
      </c>
      <c r="E30">
        <v>1989</v>
      </c>
      <c r="F30" s="14">
        <v>1990</v>
      </c>
      <c r="G30" s="14">
        <v>1991</v>
      </c>
      <c r="H30" s="14">
        <v>1992</v>
      </c>
      <c r="I30" s="14">
        <v>1993</v>
      </c>
      <c r="J30" s="14">
        <v>1994</v>
      </c>
      <c r="K30" s="14">
        <v>1995</v>
      </c>
      <c r="L30" s="14">
        <v>1996</v>
      </c>
      <c r="M30" s="14">
        <v>1997</v>
      </c>
      <c r="N30" s="14">
        <v>1998</v>
      </c>
      <c r="O30" s="14">
        <v>1999</v>
      </c>
      <c r="P30" s="14">
        <v>2000</v>
      </c>
      <c r="Q30" s="14">
        <v>2001</v>
      </c>
      <c r="R30" s="14">
        <v>2002</v>
      </c>
      <c r="S30" s="14">
        <v>2003</v>
      </c>
      <c r="T30" s="14">
        <v>2004</v>
      </c>
      <c r="U30" s="14">
        <v>2005</v>
      </c>
    </row>
    <row r="31" spans="1:21" ht="12.75">
      <c r="A31" t="s">
        <v>24</v>
      </c>
      <c r="B31" t="s">
        <v>85</v>
      </c>
      <c r="C31" t="s">
        <v>85</v>
      </c>
      <c r="D31" t="s">
        <v>85</v>
      </c>
      <c r="E31" t="s">
        <v>85</v>
      </c>
      <c r="F31" t="s">
        <v>85</v>
      </c>
      <c r="G31" t="s">
        <v>85</v>
      </c>
      <c r="H31" t="s">
        <v>85</v>
      </c>
      <c r="I31">
        <v>1436</v>
      </c>
      <c r="J31">
        <v>1423</v>
      </c>
      <c r="K31">
        <v>1368</v>
      </c>
      <c r="L31">
        <v>1240</v>
      </c>
      <c r="M31">
        <v>1235</v>
      </c>
      <c r="N31">
        <v>1385</v>
      </c>
      <c r="O31">
        <v>1354</v>
      </c>
      <c r="P31">
        <v>1108</v>
      </c>
      <c r="Q31">
        <v>1107</v>
      </c>
      <c r="R31">
        <v>1076</v>
      </c>
      <c r="S31">
        <v>1049</v>
      </c>
      <c r="T31">
        <v>808</v>
      </c>
      <c r="U31">
        <v>771</v>
      </c>
    </row>
    <row r="32" spans="1:21" ht="12.75">
      <c r="A32" t="s">
        <v>26</v>
      </c>
      <c r="B32" t="s">
        <v>85</v>
      </c>
      <c r="C32" t="s">
        <v>85</v>
      </c>
      <c r="D32" t="s">
        <v>85</v>
      </c>
      <c r="E32" t="s">
        <v>85</v>
      </c>
      <c r="F32">
        <v>2850</v>
      </c>
      <c r="G32">
        <v>2853</v>
      </c>
      <c r="H32">
        <v>2798</v>
      </c>
      <c r="I32">
        <v>2797</v>
      </c>
      <c r="J32">
        <v>2794</v>
      </c>
      <c r="K32">
        <v>2780</v>
      </c>
      <c r="L32">
        <v>2694</v>
      </c>
      <c r="M32">
        <v>3608</v>
      </c>
      <c r="N32">
        <v>2628</v>
      </c>
      <c r="O32">
        <v>2628</v>
      </c>
      <c r="P32">
        <v>2651</v>
      </c>
      <c r="Q32">
        <v>2473.9</v>
      </c>
      <c r="R32">
        <v>2463.3</v>
      </c>
      <c r="S32">
        <v>2445.2</v>
      </c>
      <c r="T32">
        <v>2343.8</v>
      </c>
      <c r="U32">
        <v>2115</v>
      </c>
    </row>
    <row r="33" spans="1:21" ht="12.75">
      <c r="A33" t="s">
        <v>30</v>
      </c>
      <c r="B33" t="s">
        <v>85</v>
      </c>
      <c r="C33" t="s">
        <v>85</v>
      </c>
      <c r="D33" t="s">
        <v>85</v>
      </c>
      <c r="E33" t="s">
        <v>85</v>
      </c>
      <c r="F33" t="s">
        <v>85</v>
      </c>
      <c r="G33" t="s">
        <v>85</v>
      </c>
      <c r="H33" t="s">
        <v>85</v>
      </c>
      <c r="I33">
        <v>10526</v>
      </c>
      <c r="J33">
        <v>11028</v>
      </c>
      <c r="K33">
        <v>10337</v>
      </c>
      <c r="L33">
        <v>10226</v>
      </c>
      <c r="M33">
        <v>9981</v>
      </c>
      <c r="N33">
        <v>9981</v>
      </c>
      <c r="O33">
        <v>10265</v>
      </c>
      <c r="P33">
        <v>10412</v>
      </c>
      <c r="Q33">
        <v>10194</v>
      </c>
      <c r="R33">
        <v>9980</v>
      </c>
      <c r="S33">
        <v>9817</v>
      </c>
      <c r="T33">
        <v>9463</v>
      </c>
      <c r="U33">
        <v>9730</v>
      </c>
    </row>
    <row r="34" spans="1:21" ht="12.75">
      <c r="A34" t="s">
        <v>34</v>
      </c>
      <c r="B34" t="s">
        <v>85</v>
      </c>
      <c r="C34" t="s">
        <v>85</v>
      </c>
      <c r="D34" t="s">
        <v>85</v>
      </c>
      <c r="E34" t="s">
        <v>85</v>
      </c>
      <c r="F34" t="s">
        <v>85</v>
      </c>
      <c r="G34" t="s">
        <v>85</v>
      </c>
      <c r="H34">
        <v>4338</v>
      </c>
      <c r="I34">
        <v>4338</v>
      </c>
      <c r="J34">
        <v>4338</v>
      </c>
      <c r="K34" t="s">
        <v>85</v>
      </c>
      <c r="L34" t="s">
        <v>85</v>
      </c>
      <c r="M34">
        <v>2564</v>
      </c>
      <c r="N34">
        <v>2564</v>
      </c>
      <c r="O34" s="118">
        <f>N34</f>
        <v>2564</v>
      </c>
      <c r="P34" s="118">
        <f aca="true" t="shared" si="2" ref="P34:U34">O34</f>
        <v>2564</v>
      </c>
      <c r="Q34" s="118">
        <f t="shared" si="2"/>
        <v>2564</v>
      </c>
      <c r="R34" s="118">
        <f t="shared" si="2"/>
        <v>2564</v>
      </c>
      <c r="S34" s="118">
        <f t="shared" si="2"/>
        <v>2564</v>
      </c>
      <c r="T34" s="118">
        <f t="shared" si="2"/>
        <v>2564</v>
      </c>
      <c r="U34" s="118">
        <f t="shared" si="2"/>
        <v>2564</v>
      </c>
    </row>
    <row r="35" spans="1:21" ht="12.75">
      <c r="A35" t="s">
        <v>96</v>
      </c>
      <c r="B35" t="s">
        <v>85</v>
      </c>
      <c r="C35" t="s">
        <v>85</v>
      </c>
      <c r="D35" t="s">
        <v>85</v>
      </c>
      <c r="E35" t="s">
        <v>85</v>
      </c>
      <c r="F35" t="s">
        <v>85</v>
      </c>
      <c r="G35">
        <v>44600</v>
      </c>
      <c r="H35">
        <v>43809</v>
      </c>
      <c r="I35">
        <v>40898</v>
      </c>
      <c r="J35" t="s">
        <v>85</v>
      </c>
      <c r="K35" t="s">
        <v>85</v>
      </c>
      <c r="L35" t="s">
        <v>85</v>
      </c>
      <c r="M35">
        <v>44117</v>
      </c>
      <c r="N35">
        <v>32344</v>
      </c>
      <c r="O35">
        <v>29809</v>
      </c>
      <c r="P35">
        <v>30669.13</v>
      </c>
      <c r="Q35">
        <v>26943</v>
      </c>
      <c r="R35">
        <v>25833</v>
      </c>
      <c r="S35" s="121">
        <f>R35+($U35-$R35)/3</f>
        <v>26366.666666666668</v>
      </c>
      <c r="T35" s="121">
        <f>S35+($U35-$R35)/3</f>
        <v>26900.333333333336</v>
      </c>
      <c r="U35">
        <v>27434</v>
      </c>
    </row>
    <row r="36" spans="1:21" ht="12.75">
      <c r="A36" t="s">
        <v>36</v>
      </c>
      <c r="B36" t="s">
        <v>85</v>
      </c>
      <c r="C36" t="s">
        <v>85</v>
      </c>
      <c r="D36" t="s">
        <v>85</v>
      </c>
      <c r="E36" t="s">
        <v>85</v>
      </c>
      <c r="F36" t="s">
        <v>85</v>
      </c>
      <c r="G36" t="s">
        <v>85</v>
      </c>
      <c r="H36">
        <v>1657.4</v>
      </c>
      <c r="I36">
        <v>1657.4</v>
      </c>
      <c r="J36">
        <v>1649.8</v>
      </c>
      <c r="K36">
        <v>1601.8</v>
      </c>
      <c r="L36">
        <v>1584.7</v>
      </c>
      <c r="M36">
        <v>1546.6</v>
      </c>
      <c r="N36">
        <v>1564</v>
      </c>
      <c r="O36">
        <v>1564</v>
      </c>
      <c r="P36">
        <v>1372</v>
      </c>
      <c r="Q36">
        <v>1390</v>
      </c>
      <c r="R36">
        <v>1299.8</v>
      </c>
      <c r="S36">
        <v>1358.5</v>
      </c>
      <c r="T36">
        <v>1456</v>
      </c>
      <c r="U36">
        <v>1667</v>
      </c>
    </row>
    <row r="37" spans="1:24" ht="12.75">
      <c r="A37" t="s">
        <v>50</v>
      </c>
      <c r="B37" t="s">
        <v>85</v>
      </c>
      <c r="C37" t="s">
        <v>85</v>
      </c>
      <c r="D37" t="s">
        <v>85</v>
      </c>
      <c r="E37" t="s">
        <v>85</v>
      </c>
      <c r="F37" t="s">
        <v>85</v>
      </c>
      <c r="G37" t="s">
        <v>85</v>
      </c>
      <c r="H37">
        <v>1907</v>
      </c>
      <c r="I37">
        <v>1910</v>
      </c>
      <c r="J37">
        <v>1910</v>
      </c>
      <c r="K37">
        <v>1908</v>
      </c>
      <c r="L37">
        <v>1917</v>
      </c>
      <c r="M37">
        <v>1871</v>
      </c>
      <c r="N37">
        <v>1872</v>
      </c>
      <c r="O37">
        <v>1872</v>
      </c>
      <c r="P37">
        <v>1872</v>
      </c>
      <c r="Q37">
        <v>1872</v>
      </c>
      <c r="R37" s="121">
        <f>Q37-($Q37-$U37)/4</f>
        <v>1857.75</v>
      </c>
      <c r="S37" s="121">
        <f>R37-($Q37-$U37)/4</f>
        <v>1843.5</v>
      </c>
      <c r="T37" s="121">
        <f>S37-($Q37-$U37)/4</f>
        <v>1829.25</v>
      </c>
      <c r="U37">
        <v>1815</v>
      </c>
      <c r="V37" s="119"/>
      <c r="W37" s="119"/>
      <c r="X37" s="119"/>
    </row>
    <row r="38" spans="1:21" ht="12.75">
      <c r="A38" t="s">
        <v>38</v>
      </c>
      <c r="B38" t="s">
        <v>85</v>
      </c>
      <c r="C38" t="s">
        <v>85</v>
      </c>
      <c r="D38" t="s">
        <v>85</v>
      </c>
      <c r="E38" t="s">
        <v>85</v>
      </c>
      <c r="F38" t="s">
        <v>85</v>
      </c>
      <c r="G38" t="s">
        <v>85</v>
      </c>
      <c r="H38" t="s">
        <v>85</v>
      </c>
      <c r="I38" t="s">
        <v>85</v>
      </c>
      <c r="J38">
        <v>2474</v>
      </c>
      <c r="K38">
        <v>2474</v>
      </c>
      <c r="L38">
        <v>2474</v>
      </c>
      <c r="M38">
        <v>2503</v>
      </c>
      <c r="N38">
        <v>2299</v>
      </c>
      <c r="O38">
        <v>2299</v>
      </c>
      <c r="P38">
        <v>2657</v>
      </c>
      <c r="Q38">
        <v>2651</v>
      </c>
      <c r="R38">
        <v>2657</v>
      </c>
      <c r="S38">
        <v>2739</v>
      </c>
      <c r="T38">
        <v>2797</v>
      </c>
      <c r="U38">
        <v>3010</v>
      </c>
    </row>
    <row r="39" spans="1:21" ht="12.75">
      <c r="A39" t="s">
        <v>44</v>
      </c>
      <c r="B39" t="s">
        <v>85</v>
      </c>
      <c r="C39" t="s">
        <v>85</v>
      </c>
      <c r="D39" t="s">
        <v>85</v>
      </c>
      <c r="E39" t="s">
        <v>85</v>
      </c>
      <c r="F39" t="s">
        <v>85</v>
      </c>
      <c r="G39" t="s">
        <v>85</v>
      </c>
      <c r="H39" t="s">
        <v>85</v>
      </c>
      <c r="I39">
        <v>23811</v>
      </c>
      <c r="J39">
        <v>23151</v>
      </c>
      <c r="K39">
        <v>22007</v>
      </c>
      <c r="L39">
        <v>21756</v>
      </c>
      <c r="M39">
        <v>19262</v>
      </c>
      <c r="N39">
        <v>19166</v>
      </c>
      <c r="O39">
        <v>19059</v>
      </c>
      <c r="P39">
        <v>18890</v>
      </c>
      <c r="Q39">
        <v>18668</v>
      </c>
      <c r="R39">
        <v>18553</v>
      </c>
      <c r="S39">
        <v>18552</v>
      </c>
      <c r="T39">
        <v>18449</v>
      </c>
      <c r="U39">
        <v>18141</v>
      </c>
    </row>
    <row r="40" spans="1:21" ht="12.75">
      <c r="A40" t="s">
        <v>54</v>
      </c>
      <c r="B40" t="s">
        <v>85</v>
      </c>
      <c r="C40" t="s">
        <v>85</v>
      </c>
      <c r="D40" t="s">
        <v>85</v>
      </c>
      <c r="E40" t="s">
        <v>85</v>
      </c>
      <c r="F40" t="s">
        <v>85</v>
      </c>
      <c r="G40" t="s">
        <v>85</v>
      </c>
      <c r="H40" t="s">
        <v>85</v>
      </c>
      <c r="I40" t="s">
        <v>85</v>
      </c>
      <c r="J40" t="s">
        <v>85</v>
      </c>
      <c r="K40">
        <v>5912</v>
      </c>
      <c r="L40">
        <v>5742</v>
      </c>
      <c r="M40">
        <v>5716</v>
      </c>
      <c r="N40">
        <v>5633</v>
      </c>
      <c r="O40">
        <v>5475</v>
      </c>
      <c r="P40">
        <v>5458</v>
      </c>
      <c r="Q40">
        <v>5215</v>
      </c>
      <c r="R40">
        <v>5138</v>
      </c>
      <c r="S40" s="118">
        <f>R40</f>
        <v>5138</v>
      </c>
      <c r="T40" s="118">
        <f>S40</f>
        <v>5138</v>
      </c>
      <c r="U40" s="118">
        <f>T40</f>
        <v>5138</v>
      </c>
    </row>
    <row r="41" spans="1:21" ht="12.75">
      <c r="A41" t="s">
        <v>60</v>
      </c>
      <c r="B41" t="s">
        <v>85</v>
      </c>
      <c r="C41" t="s">
        <v>85</v>
      </c>
      <c r="D41" t="s">
        <v>85</v>
      </c>
      <c r="E41" t="s">
        <v>85</v>
      </c>
      <c r="F41">
        <v>3458</v>
      </c>
      <c r="G41" t="s">
        <v>85</v>
      </c>
      <c r="H41">
        <v>2433</v>
      </c>
      <c r="I41">
        <v>2142</v>
      </c>
      <c r="J41">
        <v>2433</v>
      </c>
      <c r="K41">
        <v>2433</v>
      </c>
      <c r="L41">
        <v>2433</v>
      </c>
      <c r="M41">
        <v>2433</v>
      </c>
      <c r="N41">
        <v>2434</v>
      </c>
      <c r="O41">
        <v>2446</v>
      </c>
      <c r="P41">
        <v>2364</v>
      </c>
      <c r="Q41">
        <v>2336</v>
      </c>
      <c r="R41">
        <v>2326</v>
      </c>
      <c r="S41">
        <v>2326</v>
      </c>
      <c r="T41">
        <v>2326</v>
      </c>
      <c r="U41">
        <v>2326</v>
      </c>
    </row>
    <row r="42" spans="1:21" ht="12.75">
      <c r="A42" t="s">
        <v>87</v>
      </c>
      <c r="B42" t="s">
        <v>85</v>
      </c>
      <c r="C42" t="s">
        <v>85</v>
      </c>
      <c r="D42" t="s">
        <v>85</v>
      </c>
      <c r="E42" t="s">
        <v>85</v>
      </c>
      <c r="F42" t="s">
        <v>85</v>
      </c>
      <c r="G42" t="s">
        <v>85</v>
      </c>
      <c r="H42">
        <v>2425.2</v>
      </c>
      <c r="I42">
        <v>2384.7</v>
      </c>
      <c r="J42">
        <v>2456.7</v>
      </c>
      <c r="K42">
        <v>2456.7</v>
      </c>
      <c r="L42">
        <v>2318.3</v>
      </c>
      <c r="M42">
        <v>2318.4</v>
      </c>
      <c r="N42">
        <v>2318</v>
      </c>
      <c r="O42">
        <v>2225</v>
      </c>
      <c r="P42">
        <v>2259.1</v>
      </c>
      <c r="Q42">
        <v>2014</v>
      </c>
      <c r="R42">
        <v>1990.4</v>
      </c>
      <c r="S42">
        <v>1962.8</v>
      </c>
      <c r="T42">
        <v>1957.2</v>
      </c>
      <c r="U42">
        <v>1944.9</v>
      </c>
    </row>
    <row r="43" spans="1:21" ht="12.75">
      <c r="A43" t="s">
        <v>48</v>
      </c>
      <c r="B43" t="s">
        <v>85</v>
      </c>
      <c r="C43" t="s">
        <v>85</v>
      </c>
      <c r="D43" t="s">
        <v>85</v>
      </c>
      <c r="E43" t="s">
        <v>85</v>
      </c>
      <c r="F43">
        <v>8234</v>
      </c>
      <c r="G43">
        <v>8578</v>
      </c>
      <c r="H43">
        <v>7676</v>
      </c>
      <c r="I43">
        <v>7754</v>
      </c>
      <c r="J43">
        <v>7636</v>
      </c>
      <c r="K43">
        <v>7500</v>
      </c>
      <c r="L43">
        <v>7265</v>
      </c>
      <c r="M43">
        <v>7986</v>
      </c>
      <c r="N43">
        <v>7170</v>
      </c>
      <c r="O43">
        <v>7144</v>
      </c>
      <c r="P43">
        <v>6936</v>
      </c>
      <c r="Q43">
        <v>6954</v>
      </c>
      <c r="R43">
        <v>6864</v>
      </c>
      <c r="S43">
        <v>6862</v>
      </c>
      <c r="T43">
        <v>6844</v>
      </c>
      <c r="U43">
        <v>6845</v>
      </c>
    </row>
    <row r="44" spans="1:21" ht="12.75">
      <c r="A44" t="s">
        <v>64</v>
      </c>
      <c r="B44" t="s">
        <v>85</v>
      </c>
      <c r="C44" t="s">
        <v>85</v>
      </c>
      <c r="D44" t="s">
        <v>85</v>
      </c>
      <c r="E44" t="s">
        <v>85</v>
      </c>
      <c r="F44" t="s">
        <v>85</v>
      </c>
      <c r="G44" t="s">
        <v>85</v>
      </c>
      <c r="H44" t="s">
        <v>85</v>
      </c>
      <c r="I44" t="s">
        <v>85</v>
      </c>
      <c r="J44" t="s">
        <v>85</v>
      </c>
      <c r="K44" t="s">
        <v>85</v>
      </c>
      <c r="L44" t="s">
        <v>85</v>
      </c>
      <c r="M44" t="s">
        <v>85</v>
      </c>
      <c r="N44" t="s">
        <v>85</v>
      </c>
      <c r="O44" s="118">
        <f aca="true" t="shared" si="3" ref="O44:T44">P44</f>
        <v>795</v>
      </c>
      <c r="P44" s="118">
        <f t="shared" si="3"/>
        <v>795</v>
      </c>
      <c r="Q44" s="118">
        <f t="shared" si="3"/>
        <v>795</v>
      </c>
      <c r="R44" s="118">
        <f t="shared" si="3"/>
        <v>795</v>
      </c>
      <c r="S44" s="118">
        <f t="shared" si="3"/>
        <v>795</v>
      </c>
      <c r="T44" s="118">
        <f t="shared" si="3"/>
        <v>795</v>
      </c>
      <c r="U44">
        <v>795</v>
      </c>
    </row>
    <row r="45" spans="1:21" ht="12.75">
      <c r="A45" t="s">
        <v>21</v>
      </c>
      <c r="B45">
        <v>2</v>
      </c>
      <c r="C45">
        <v>0</v>
      </c>
      <c r="D45" t="s">
        <v>85</v>
      </c>
      <c r="E45">
        <v>2403</v>
      </c>
      <c r="F45">
        <v>2378</v>
      </c>
      <c r="G45">
        <v>2378</v>
      </c>
      <c r="H45">
        <v>2358</v>
      </c>
      <c r="I45">
        <v>2327</v>
      </c>
      <c r="J45">
        <v>2328</v>
      </c>
      <c r="K45">
        <v>2254</v>
      </c>
      <c r="L45">
        <v>2254</v>
      </c>
      <c r="M45">
        <v>2254</v>
      </c>
      <c r="N45">
        <v>2259</v>
      </c>
      <c r="O45">
        <v>2382</v>
      </c>
      <c r="P45">
        <v>2226</v>
      </c>
      <c r="Q45">
        <v>2396</v>
      </c>
      <c r="R45">
        <v>2104</v>
      </c>
      <c r="S45" s="118">
        <f>R45</f>
        <v>2104</v>
      </c>
      <c r="T45" s="118">
        <f>S45</f>
        <v>2104</v>
      </c>
      <c r="U45" s="118">
        <f>T45</f>
        <v>2104</v>
      </c>
    </row>
    <row r="46" spans="1:21" ht="12.75">
      <c r="A46" t="s">
        <v>68</v>
      </c>
      <c r="B46" t="s">
        <v>85</v>
      </c>
      <c r="C46" t="s">
        <v>85</v>
      </c>
      <c r="D46" t="s">
        <v>85</v>
      </c>
      <c r="E46" t="s">
        <v>85</v>
      </c>
      <c r="F46">
        <v>23242</v>
      </c>
      <c r="G46">
        <v>22274</v>
      </c>
      <c r="H46">
        <v>21200</v>
      </c>
      <c r="I46">
        <v>21300</v>
      </c>
      <c r="J46">
        <v>20027</v>
      </c>
      <c r="K46">
        <v>19481</v>
      </c>
      <c r="L46">
        <v>19051</v>
      </c>
      <c r="M46">
        <v>19015</v>
      </c>
      <c r="N46">
        <v>18479</v>
      </c>
      <c r="O46">
        <v>17424</v>
      </c>
      <c r="P46">
        <v>16278</v>
      </c>
      <c r="Q46">
        <v>14228</v>
      </c>
      <c r="R46">
        <v>14763</v>
      </c>
      <c r="S46">
        <v>14337</v>
      </c>
      <c r="T46">
        <v>13571</v>
      </c>
      <c r="U46">
        <v>13405</v>
      </c>
    </row>
    <row r="47" spans="1:21" ht="12.75">
      <c r="A47" t="s">
        <v>70</v>
      </c>
      <c r="B47" t="s">
        <v>85</v>
      </c>
      <c r="C47" t="s">
        <v>85</v>
      </c>
      <c r="D47" t="s">
        <v>85</v>
      </c>
      <c r="E47" t="s">
        <v>85</v>
      </c>
      <c r="F47" t="s">
        <v>85</v>
      </c>
      <c r="G47" t="s">
        <v>85</v>
      </c>
      <c r="H47">
        <v>2613</v>
      </c>
      <c r="I47">
        <v>2641</v>
      </c>
      <c r="J47">
        <v>2648</v>
      </c>
      <c r="K47">
        <v>2590</v>
      </c>
      <c r="L47">
        <v>2496</v>
      </c>
      <c r="M47" t="s">
        <v>85</v>
      </c>
      <c r="N47">
        <v>1955</v>
      </c>
      <c r="O47">
        <v>2677</v>
      </c>
      <c r="P47">
        <v>2675</v>
      </c>
      <c r="Q47">
        <v>1908.4</v>
      </c>
      <c r="R47">
        <v>1754</v>
      </c>
      <c r="S47" s="118">
        <f>R47</f>
        <v>1754</v>
      </c>
      <c r="T47" s="118">
        <f>S47</f>
        <v>1754</v>
      </c>
      <c r="U47" s="118">
        <f>T47</f>
        <v>1754</v>
      </c>
    </row>
    <row r="48" spans="1:21" ht="12.75">
      <c r="A48" t="s">
        <v>72</v>
      </c>
      <c r="B48" t="s">
        <v>85</v>
      </c>
      <c r="C48" t="s">
        <v>85</v>
      </c>
      <c r="D48" t="s">
        <v>85</v>
      </c>
      <c r="E48" t="s">
        <v>85</v>
      </c>
      <c r="F48">
        <v>14140</v>
      </c>
      <c r="G48">
        <v>13670</v>
      </c>
      <c r="H48">
        <v>13712</v>
      </c>
      <c r="I48">
        <v>13644.6</v>
      </c>
      <c r="J48">
        <v>13644.6</v>
      </c>
      <c r="K48">
        <v>13676</v>
      </c>
      <c r="L48">
        <v>13663</v>
      </c>
      <c r="M48">
        <v>13650</v>
      </c>
      <c r="N48">
        <v>13669</v>
      </c>
      <c r="O48">
        <v>13669</v>
      </c>
      <c r="P48">
        <v>13663</v>
      </c>
      <c r="Q48">
        <v>13609</v>
      </c>
      <c r="R48">
        <v>13598</v>
      </c>
      <c r="S48" s="118">
        <f>R48-(R48-T48)/2</f>
        <v>13151</v>
      </c>
      <c r="T48">
        <v>12704</v>
      </c>
      <c r="U48">
        <v>12697</v>
      </c>
    </row>
    <row r="49" spans="1:21" ht="12.75">
      <c r="A49" t="s">
        <v>76</v>
      </c>
      <c r="B49" t="s">
        <v>85</v>
      </c>
      <c r="C49" t="s">
        <v>85</v>
      </c>
      <c r="D49" t="s">
        <v>85</v>
      </c>
      <c r="E49" t="s">
        <v>85</v>
      </c>
      <c r="F49" t="s">
        <v>85</v>
      </c>
      <c r="G49" t="s">
        <v>85</v>
      </c>
      <c r="H49">
        <v>1101</v>
      </c>
      <c r="I49">
        <v>1103</v>
      </c>
      <c r="J49">
        <v>1103</v>
      </c>
      <c r="K49">
        <v>1102</v>
      </c>
      <c r="L49">
        <v>1102</v>
      </c>
      <c r="M49">
        <v>1102</v>
      </c>
      <c r="N49">
        <v>1098</v>
      </c>
      <c r="O49">
        <v>868</v>
      </c>
      <c r="P49">
        <v>883</v>
      </c>
      <c r="Q49">
        <v>906.3</v>
      </c>
      <c r="R49">
        <v>911.6</v>
      </c>
      <c r="S49">
        <v>909.7</v>
      </c>
      <c r="T49">
        <v>909.8</v>
      </c>
      <c r="U49">
        <v>911.2</v>
      </c>
    </row>
    <row r="50" spans="1:21" ht="12.75">
      <c r="A50" t="s">
        <v>78</v>
      </c>
      <c r="B50" t="s">
        <v>85</v>
      </c>
      <c r="C50" t="s">
        <v>85</v>
      </c>
      <c r="D50" t="s">
        <v>85</v>
      </c>
      <c r="E50" t="s">
        <v>85</v>
      </c>
      <c r="F50">
        <v>2330</v>
      </c>
      <c r="G50">
        <v>2288</v>
      </c>
      <c r="H50">
        <v>2288</v>
      </c>
      <c r="I50">
        <v>2246</v>
      </c>
      <c r="J50">
        <v>2231</v>
      </c>
      <c r="K50">
        <v>2193</v>
      </c>
      <c r="L50">
        <v>2157</v>
      </c>
      <c r="M50">
        <v>2157</v>
      </c>
      <c r="N50">
        <v>2130</v>
      </c>
      <c r="O50">
        <v>2130</v>
      </c>
      <c r="P50">
        <v>2126</v>
      </c>
      <c r="Q50">
        <v>2126</v>
      </c>
      <c r="R50">
        <v>2101</v>
      </c>
      <c r="S50">
        <v>2099</v>
      </c>
      <c r="T50">
        <v>2104</v>
      </c>
      <c r="U50">
        <v>2102</v>
      </c>
    </row>
    <row r="51" spans="1:21" ht="12.75">
      <c r="A51" t="s">
        <v>42</v>
      </c>
      <c r="B51" t="s">
        <v>85</v>
      </c>
      <c r="C51" t="s">
        <v>85</v>
      </c>
      <c r="D51" t="s">
        <v>85</v>
      </c>
      <c r="E51">
        <v>6167</v>
      </c>
      <c r="F51">
        <v>6032</v>
      </c>
      <c r="G51">
        <v>5848</v>
      </c>
      <c r="H51">
        <v>5895</v>
      </c>
      <c r="I51">
        <v>6078</v>
      </c>
      <c r="J51">
        <v>5680</v>
      </c>
      <c r="K51">
        <v>5606</v>
      </c>
      <c r="L51">
        <v>5558</v>
      </c>
      <c r="M51">
        <v>5334</v>
      </c>
      <c r="N51">
        <v>5147</v>
      </c>
      <c r="O51">
        <v>5057</v>
      </c>
      <c r="P51">
        <v>4936</v>
      </c>
      <c r="Q51">
        <v>4904</v>
      </c>
      <c r="R51">
        <v>4904</v>
      </c>
      <c r="S51">
        <v>4869</v>
      </c>
      <c r="T51">
        <v>4501</v>
      </c>
      <c r="U51">
        <v>4494</v>
      </c>
    </row>
    <row r="52" spans="1:21" ht="12.75">
      <c r="A52" t="s">
        <v>74</v>
      </c>
      <c r="B52" t="s">
        <v>85</v>
      </c>
      <c r="C52" t="s">
        <v>85</v>
      </c>
      <c r="D52" t="s">
        <v>85</v>
      </c>
      <c r="E52" t="s">
        <v>85</v>
      </c>
      <c r="F52">
        <v>5520</v>
      </c>
      <c r="G52">
        <v>5390</v>
      </c>
      <c r="H52">
        <v>3680</v>
      </c>
      <c r="I52">
        <v>2560</v>
      </c>
      <c r="J52">
        <v>2479</v>
      </c>
      <c r="K52">
        <v>2465</v>
      </c>
      <c r="L52">
        <v>2436</v>
      </c>
      <c r="M52">
        <v>2438</v>
      </c>
      <c r="N52">
        <v>2495</v>
      </c>
      <c r="O52">
        <v>2512</v>
      </c>
      <c r="P52">
        <v>2492</v>
      </c>
      <c r="Q52" s="118">
        <f>P52+(R52-P52)/2</f>
        <v>3625</v>
      </c>
      <c r="R52">
        <v>4758</v>
      </c>
      <c r="S52">
        <v>4693</v>
      </c>
      <c r="T52">
        <v>4585</v>
      </c>
      <c r="U52">
        <v>4418</v>
      </c>
    </row>
    <row r="53" spans="1:21" ht="12.75">
      <c r="A53" t="s">
        <v>82</v>
      </c>
      <c r="B53" t="s">
        <v>85</v>
      </c>
      <c r="C53" t="s">
        <v>85</v>
      </c>
      <c r="D53" t="s">
        <v>85</v>
      </c>
      <c r="E53" t="s">
        <v>85</v>
      </c>
      <c r="F53" t="s">
        <v>85</v>
      </c>
      <c r="G53" t="s">
        <v>85</v>
      </c>
      <c r="H53">
        <v>21119</v>
      </c>
      <c r="I53">
        <v>21016</v>
      </c>
      <c r="J53">
        <v>20703</v>
      </c>
      <c r="K53">
        <v>21749</v>
      </c>
      <c r="L53">
        <v>21749</v>
      </c>
      <c r="M53">
        <v>21749</v>
      </c>
      <c r="N53">
        <v>21769</v>
      </c>
      <c r="O53">
        <v>22295</v>
      </c>
      <c r="P53">
        <v>21952</v>
      </c>
      <c r="Q53">
        <v>22480</v>
      </c>
      <c r="R53">
        <v>22497</v>
      </c>
      <c r="S53">
        <v>22427</v>
      </c>
      <c r="T53">
        <v>21000</v>
      </c>
      <c r="U53" s="118">
        <f>T53</f>
        <v>21000</v>
      </c>
    </row>
    <row r="54" spans="1:24" ht="12.75">
      <c r="A54" t="s">
        <v>80</v>
      </c>
      <c r="B54" t="s">
        <v>85</v>
      </c>
      <c r="C54" t="s">
        <v>85</v>
      </c>
      <c r="D54" t="s">
        <v>85</v>
      </c>
      <c r="E54" t="s">
        <v>85</v>
      </c>
      <c r="F54">
        <v>9668</v>
      </c>
      <c r="G54" t="s">
        <v>85</v>
      </c>
      <c r="H54">
        <v>9380</v>
      </c>
      <c r="I54">
        <v>9380</v>
      </c>
      <c r="J54">
        <v>9293</v>
      </c>
      <c r="K54">
        <v>9373</v>
      </c>
      <c r="L54">
        <v>8684</v>
      </c>
      <c r="M54" t="s">
        <v>85</v>
      </c>
      <c r="N54">
        <v>8443</v>
      </c>
      <c r="O54">
        <v>8800</v>
      </c>
      <c r="P54" s="121">
        <f>O54-($O54-$S54)/4</f>
        <v>8336.25</v>
      </c>
      <c r="Q54" s="121">
        <f>P54-($O54-$S54)/4</f>
        <v>7872.5</v>
      </c>
      <c r="R54" s="121">
        <f>Q54-($O54-$S54)/4</f>
        <v>7408.75</v>
      </c>
      <c r="S54">
        <v>6945</v>
      </c>
      <c r="T54">
        <v>6777</v>
      </c>
      <c r="U54">
        <v>8648</v>
      </c>
      <c r="V54" s="120"/>
      <c r="W54" s="120"/>
      <c r="X54" s="120"/>
    </row>
    <row r="55" spans="1:21" ht="12.75">
      <c r="A55" t="s">
        <v>66</v>
      </c>
      <c r="B55" t="s">
        <v>85</v>
      </c>
      <c r="C55" t="s">
        <v>85</v>
      </c>
      <c r="D55" t="s">
        <v>85</v>
      </c>
      <c r="E55" t="s">
        <v>85</v>
      </c>
      <c r="F55">
        <v>1618</v>
      </c>
      <c r="G55">
        <v>1601</v>
      </c>
      <c r="H55">
        <v>1601</v>
      </c>
      <c r="I55">
        <v>1601</v>
      </c>
      <c r="J55">
        <v>1601</v>
      </c>
      <c r="K55">
        <v>1601</v>
      </c>
      <c r="L55">
        <v>1601</v>
      </c>
      <c r="M55">
        <v>1565</v>
      </c>
      <c r="N55">
        <v>1565</v>
      </c>
      <c r="O55">
        <v>1565</v>
      </c>
      <c r="P55">
        <v>1680</v>
      </c>
      <c r="Q55">
        <v>1680</v>
      </c>
      <c r="R55">
        <v>1579</v>
      </c>
      <c r="S55">
        <v>1579</v>
      </c>
      <c r="T55">
        <v>1579</v>
      </c>
      <c r="U55">
        <v>1559</v>
      </c>
    </row>
    <row r="56" spans="1:21" ht="12.75">
      <c r="A56" t="s">
        <v>91</v>
      </c>
      <c r="B56" t="s">
        <v>85</v>
      </c>
      <c r="C56" t="s">
        <v>85</v>
      </c>
      <c r="D56" t="s">
        <v>85</v>
      </c>
      <c r="E56" t="s">
        <v>85</v>
      </c>
      <c r="F56" t="s">
        <v>85</v>
      </c>
      <c r="G56" t="s">
        <v>85</v>
      </c>
      <c r="H56" t="s">
        <v>85</v>
      </c>
      <c r="I56" t="s">
        <v>85</v>
      </c>
      <c r="J56" t="s">
        <v>85</v>
      </c>
      <c r="K56" t="s">
        <v>85</v>
      </c>
      <c r="L56" t="s">
        <v>85</v>
      </c>
      <c r="M56" t="s">
        <v>85</v>
      </c>
      <c r="N56" t="s">
        <v>85</v>
      </c>
      <c r="O56" t="s">
        <v>85</v>
      </c>
      <c r="P56" t="s">
        <v>85</v>
      </c>
      <c r="Q56" t="s">
        <v>85</v>
      </c>
      <c r="R56" t="s">
        <v>85</v>
      </c>
      <c r="S56" t="s">
        <v>85</v>
      </c>
      <c r="T56" t="s">
        <v>85</v>
      </c>
      <c r="U56" t="s">
        <v>85</v>
      </c>
    </row>
    <row r="57" spans="1:21" ht="12.75">
      <c r="A57" s="14" t="s">
        <v>268</v>
      </c>
      <c r="F57" s="14">
        <f aca="true" t="shared" si="4" ref="F57:T57">SUM(F30:F56)</f>
        <v>81460</v>
      </c>
      <c r="G57" s="14">
        <f t="shared" si="4"/>
        <v>111471</v>
      </c>
      <c r="H57" s="14">
        <f t="shared" si="4"/>
        <v>153982.6</v>
      </c>
      <c r="I57" s="14">
        <f t="shared" si="4"/>
        <v>185543.69999999998</v>
      </c>
      <c r="J57" s="14">
        <f t="shared" si="4"/>
        <v>145025.1</v>
      </c>
      <c r="K57" s="14">
        <f t="shared" si="4"/>
        <v>144862.5</v>
      </c>
      <c r="L57" s="14">
        <f t="shared" si="4"/>
        <v>142397</v>
      </c>
      <c r="M57" s="14">
        <f t="shared" si="4"/>
        <v>176402</v>
      </c>
      <c r="N57" s="14">
        <f t="shared" si="4"/>
        <v>172365</v>
      </c>
      <c r="O57" s="14">
        <f t="shared" si="4"/>
        <v>170877</v>
      </c>
      <c r="P57" s="14">
        <f t="shared" si="4"/>
        <v>169254.48</v>
      </c>
      <c r="Q57" s="14">
        <f t="shared" si="4"/>
        <v>162913.09999999998</v>
      </c>
      <c r="R57" s="14">
        <f t="shared" si="4"/>
        <v>161777.6</v>
      </c>
      <c r="S57" s="14">
        <f t="shared" si="4"/>
        <v>160689.36666666667</v>
      </c>
      <c r="T57" s="14">
        <f t="shared" si="4"/>
        <v>157263.38333333333</v>
      </c>
      <c r="U57" s="14">
        <f>SUM(U30:U56)</f>
        <v>159393.09999999998</v>
      </c>
    </row>
    <row r="58" spans="6:21" ht="12.75">
      <c r="F58" s="117">
        <f>F28/(F28+F57)</f>
        <v>0.4453711710116904</v>
      </c>
      <c r="G58" s="117">
        <f aca="true" t="shared" si="5" ref="G58:U58">G28/(G28+G57)</f>
        <v>0.4911487054011613</v>
      </c>
      <c r="H58" s="117">
        <f t="shared" si="5"/>
        <v>0.4488028542351937</v>
      </c>
      <c r="I58" s="117">
        <f t="shared" si="5"/>
        <v>0.46732117618788827</v>
      </c>
      <c r="J58" s="117">
        <f t="shared" si="5"/>
        <v>0.45470306764798113</v>
      </c>
      <c r="K58" s="117">
        <f t="shared" si="5"/>
        <v>0.4877791866416136</v>
      </c>
      <c r="L58" s="117">
        <f t="shared" si="5"/>
        <v>0.49556198554386216</v>
      </c>
      <c r="M58" s="117">
        <f t="shared" si="5"/>
        <v>0.4937104860439032</v>
      </c>
      <c r="N58" s="117">
        <f t="shared" si="5"/>
        <v>0.5205656249182932</v>
      </c>
      <c r="O58" s="117">
        <f t="shared" si="5"/>
        <v>0.524090023428283</v>
      </c>
      <c r="P58" s="117">
        <f t="shared" si="5"/>
        <v>0.5245989181646437</v>
      </c>
      <c r="Q58" s="117">
        <f t="shared" si="5"/>
        <v>0.5251180405071764</v>
      </c>
      <c r="R58" s="117">
        <f t="shared" si="5"/>
        <v>0.5413338005685356</v>
      </c>
      <c r="S58" s="117">
        <f t="shared" si="5"/>
        <v>0.5404212483389099</v>
      </c>
      <c r="T58" s="117">
        <f t="shared" si="5"/>
        <v>0.5464950559671677</v>
      </c>
      <c r="U58" s="117">
        <f t="shared" si="5"/>
        <v>0.5436892119910155</v>
      </c>
    </row>
    <row r="59" spans="1:2" ht="12.75">
      <c r="A59" t="s">
        <v>104</v>
      </c>
      <c r="B59" t="s">
        <v>32</v>
      </c>
    </row>
    <row r="60" spans="1:6" ht="12.75">
      <c r="A60" t="s">
        <v>90</v>
      </c>
      <c r="B60" t="s">
        <v>92</v>
      </c>
      <c r="F60" t="s">
        <v>92</v>
      </c>
    </row>
    <row r="61" spans="1:6" ht="12.75">
      <c r="A61" t="s">
        <v>88</v>
      </c>
      <c r="B61" t="s">
        <v>94</v>
      </c>
      <c r="F61" t="s">
        <v>94</v>
      </c>
    </row>
    <row r="62" spans="1:6" ht="12.75">
      <c r="A62" t="s">
        <v>100</v>
      </c>
      <c r="B62" t="s">
        <v>102</v>
      </c>
      <c r="F6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5"/>
  <sheetViews>
    <sheetView zoomScale="85" zoomScaleNormal="85" zoomScalePageLayoutView="0" workbookViewId="0" topLeftCell="A1">
      <selection activeCell="G28" sqref="G28"/>
    </sheetView>
  </sheetViews>
  <sheetFormatPr defaultColWidth="9.00390625" defaultRowHeight="12.75"/>
  <cols>
    <col min="2" max="2" width="29.25390625" style="0" customWidth="1"/>
  </cols>
  <sheetData>
    <row r="1" spans="1:17" ht="12.75">
      <c r="A1" s="1" t="s">
        <v>16</v>
      </c>
      <c r="B1" s="15"/>
      <c r="C1" s="15"/>
      <c r="D1" s="1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7" ht="12.75">
      <c r="A2" s="12" t="s">
        <v>17</v>
      </c>
      <c r="B2" s="12" t="s">
        <v>18</v>
      </c>
      <c r="C2" s="12" t="s">
        <v>17</v>
      </c>
      <c r="D2" s="12" t="s">
        <v>19</v>
      </c>
      <c r="E2" s="3"/>
      <c r="F2" s="3"/>
      <c r="G2" s="3"/>
    </row>
    <row r="3" spans="1:10" ht="12.75">
      <c r="A3" s="16" t="s">
        <v>20</v>
      </c>
      <c r="B3" s="16" t="s">
        <v>21</v>
      </c>
      <c r="C3" s="16" t="s">
        <v>153</v>
      </c>
      <c r="D3" s="16" t="s">
        <v>22</v>
      </c>
      <c r="I3" s="16"/>
      <c r="J3" s="16"/>
    </row>
    <row r="4" spans="1:10" ht="12.75">
      <c r="A4" s="16" t="s">
        <v>23</v>
      </c>
      <c r="B4" s="16" t="s">
        <v>24</v>
      </c>
      <c r="C4" s="16"/>
      <c r="D4" s="16"/>
      <c r="I4" s="16"/>
      <c r="J4" s="16"/>
    </row>
    <row r="5" spans="1:10" ht="12.75">
      <c r="A5" s="16" t="s">
        <v>25</v>
      </c>
      <c r="B5" s="16" t="s">
        <v>26</v>
      </c>
      <c r="C5" s="16"/>
      <c r="D5" s="16"/>
      <c r="I5" s="16"/>
      <c r="J5" s="16"/>
    </row>
    <row r="6" spans="1:10" ht="12.75">
      <c r="A6" s="18" t="s">
        <v>45</v>
      </c>
      <c r="B6" s="18" t="s">
        <v>46</v>
      </c>
      <c r="C6" s="16"/>
      <c r="D6" s="16"/>
      <c r="I6" s="16"/>
      <c r="J6" s="16"/>
    </row>
    <row r="7" spans="1:10" ht="12.75">
      <c r="A7" s="16" t="s">
        <v>27</v>
      </c>
      <c r="B7" s="16" t="s">
        <v>28</v>
      </c>
      <c r="C7" s="16"/>
      <c r="D7" s="16"/>
      <c r="I7" s="16"/>
      <c r="J7" s="16"/>
    </row>
    <row r="8" spans="1:10" ht="12.75">
      <c r="A8" s="16" t="s">
        <v>29</v>
      </c>
      <c r="B8" s="16" t="s">
        <v>30</v>
      </c>
      <c r="C8" s="16"/>
      <c r="D8" s="16"/>
      <c r="I8" s="16"/>
      <c r="J8" s="16"/>
    </row>
    <row r="9" spans="1:10" ht="12.75">
      <c r="A9" s="16" t="s">
        <v>33</v>
      </c>
      <c r="B9" s="16" t="s">
        <v>34</v>
      </c>
      <c r="C9" s="16"/>
      <c r="D9" s="16"/>
      <c r="I9" s="16"/>
      <c r="J9" s="16"/>
    </row>
    <row r="10" spans="1:10" ht="12.75">
      <c r="A10" s="16" t="s">
        <v>35</v>
      </c>
      <c r="B10" s="16" t="s">
        <v>36</v>
      </c>
      <c r="C10" s="16"/>
      <c r="D10" s="16"/>
      <c r="I10" s="16"/>
      <c r="J10" s="16"/>
    </row>
    <row r="11" spans="1:10" ht="12.75">
      <c r="A11" s="16" t="s">
        <v>41</v>
      </c>
      <c r="B11" s="16" t="s">
        <v>42</v>
      </c>
      <c r="C11" s="16"/>
      <c r="D11" s="16"/>
      <c r="I11" s="16"/>
      <c r="J11" s="16"/>
    </row>
    <row r="12" spans="1:10" ht="12.75">
      <c r="A12" s="16" t="s">
        <v>43</v>
      </c>
      <c r="B12" s="16" t="s">
        <v>44</v>
      </c>
      <c r="C12" s="16"/>
      <c r="D12" s="16"/>
      <c r="I12" s="16"/>
      <c r="J12" s="16"/>
    </row>
    <row r="13" spans="1:10" ht="12.75">
      <c r="A13" s="16" t="s">
        <v>31</v>
      </c>
      <c r="B13" s="16" t="s">
        <v>32</v>
      </c>
      <c r="C13" s="16"/>
      <c r="D13" s="16"/>
      <c r="I13" s="16"/>
      <c r="J13" s="16"/>
    </row>
    <row r="14" spans="1:10" ht="12.75">
      <c r="A14" s="16" t="s">
        <v>37</v>
      </c>
      <c r="B14" s="16" t="s">
        <v>38</v>
      </c>
      <c r="C14" s="16"/>
      <c r="D14" s="16"/>
      <c r="I14" s="16"/>
      <c r="J14" s="16"/>
    </row>
    <row r="15" spans="1:10" ht="12.75">
      <c r="A15" s="16" t="s">
        <v>47</v>
      </c>
      <c r="B15" s="16" t="s">
        <v>48</v>
      </c>
      <c r="C15" s="16"/>
      <c r="D15" s="16"/>
      <c r="I15" s="16"/>
      <c r="J15" s="16"/>
    </row>
    <row r="16" spans="1:10" ht="12.75">
      <c r="A16" s="16" t="s">
        <v>51</v>
      </c>
      <c r="B16" s="16" t="s">
        <v>52</v>
      </c>
      <c r="C16" s="16"/>
      <c r="D16" s="16"/>
      <c r="I16" s="16"/>
      <c r="J16" s="16"/>
    </row>
    <row r="17" spans="1:10" ht="12.75">
      <c r="A17" s="16" t="s">
        <v>49</v>
      </c>
      <c r="B17" s="16" t="s">
        <v>50</v>
      </c>
      <c r="C17" s="16"/>
      <c r="D17" s="16"/>
      <c r="I17" s="16"/>
      <c r="J17" s="16"/>
    </row>
    <row r="18" spans="1:10" ht="12.75">
      <c r="A18" s="16" t="s">
        <v>53</v>
      </c>
      <c r="B18" s="16" t="s">
        <v>54</v>
      </c>
      <c r="C18" s="16"/>
      <c r="D18" s="16"/>
      <c r="I18" s="16"/>
      <c r="J18" s="16"/>
    </row>
    <row r="19" spans="1:10" ht="12.75">
      <c r="A19" s="16" t="s">
        <v>59</v>
      </c>
      <c r="B19" s="16" t="s">
        <v>60</v>
      </c>
      <c r="C19" s="16"/>
      <c r="D19" s="16"/>
      <c r="I19" s="16"/>
      <c r="J19" s="16"/>
    </row>
    <row r="20" spans="1:10" ht="12.75">
      <c r="A20" s="16" t="s">
        <v>55</v>
      </c>
      <c r="B20" s="16" t="s">
        <v>56</v>
      </c>
      <c r="C20" s="16"/>
      <c r="D20" s="16"/>
      <c r="I20" s="16"/>
      <c r="J20" s="16"/>
    </row>
    <row r="21" spans="1:10" ht="12.75">
      <c r="A21" s="16" t="s">
        <v>57</v>
      </c>
      <c r="B21" s="16" t="s">
        <v>58</v>
      </c>
      <c r="C21" s="16"/>
      <c r="D21" s="16"/>
      <c r="I21" s="16"/>
      <c r="J21" s="16"/>
    </row>
    <row r="22" spans="1:10" ht="12.75">
      <c r="A22" s="16" t="s">
        <v>61</v>
      </c>
      <c r="B22" s="16" t="s">
        <v>62</v>
      </c>
      <c r="C22" s="16"/>
      <c r="D22" s="16"/>
      <c r="I22" s="16"/>
      <c r="J22" s="16"/>
    </row>
    <row r="23" spans="1:10" ht="12.75">
      <c r="A23" s="16" t="s">
        <v>63</v>
      </c>
      <c r="B23" s="16" t="s">
        <v>64</v>
      </c>
      <c r="C23" s="16"/>
      <c r="D23" s="16"/>
      <c r="I23" s="16"/>
      <c r="J23" s="16"/>
    </row>
    <row r="24" spans="1:10" ht="12.75">
      <c r="A24" s="16" t="s">
        <v>65</v>
      </c>
      <c r="B24" s="16" t="s">
        <v>66</v>
      </c>
      <c r="C24" s="16"/>
      <c r="D24" s="16"/>
      <c r="I24" s="16"/>
      <c r="J24" s="16"/>
    </row>
    <row r="25" spans="1:10" ht="12.75">
      <c r="A25" s="16" t="s">
        <v>67</v>
      </c>
      <c r="B25" s="16" t="s">
        <v>68</v>
      </c>
      <c r="C25" s="16"/>
      <c r="D25" s="16"/>
      <c r="I25" s="16"/>
      <c r="J25" s="16"/>
    </row>
    <row r="26" spans="1:10" ht="12.75">
      <c r="A26" s="16" t="s">
        <v>69</v>
      </c>
      <c r="B26" s="16" t="s">
        <v>70</v>
      </c>
      <c r="C26" s="16"/>
      <c r="D26" s="16"/>
      <c r="I26" s="16"/>
      <c r="J26" s="16"/>
    </row>
    <row r="27" spans="1:10" ht="12.75">
      <c r="A27" s="16" t="s">
        <v>71</v>
      </c>
      <c r="B27" s="16" t="s">
        <v>72</v>
      </c>
      <c r="C27" s="16"/>
      <c r="D27" s="16"/>
      <c r="I27" s="16"/>
      <c r="J27" s="16"/>
    </row>
    <row r="28" spans="1:10" ht="12.75">
      <c r="A28" s="16" t="s">
        <v>77</v>
      </c>
      <c r="B28" s="16" t="s">
        <v>78</v>
      </c>
      <c r="C28" s="16"/>
      <c r="D28" s="16"/>
      <c r="I28" s="16"/>
      <c r="J28" s="16"/>
    </row>
    <row r="29" spans="1:10" ht="12.75">
      <c r="A29" s="16" t="s">
        <v>75</v>
      </c>
      <c r="B29" s="16" t="s">
        <v>76</v>
      </c>
      <c r="C29" s="16"/>
      <c r="D29" s="16"/>
      <c r="I29" s="16"/>
      <c r="J29" s="16"/>
    </row>
    <row r="30" spans="1:10" ht="12.75">
      <c r="A30" s="16" t="s">
        <v>39</v>
      </c>
      <c r="B30" s="16" t="s">
        <v>40</v>
      </c>
      <c r="C30" s="16"/>
      <c r="D30" s="16"/>
      <c r="I30" s="16"/>
      <c r="J30" s="16"/>
    </row>
    <row r="31" spans="1:10" ht="12.75">
      <c r="A31" s="16" t="s">
        <v>73</v>
      </c>
      <c r="B31" s="16" t="s">
        <v>74</v>
      </c>
      <c r="C31" s="16"/>
      <c r="D31" s="16"/>
      <c r="I31" s="16"/>
      <c r="J31" s="16"/>
    </row>
    <row r="32" spans="1:10" ht="12.75">
      <c r="A32" s="16" t="s">
        <v>154</v>
      </c>
      <c r="B32" s="16" t="s">
        <v>91</v>
      </c>
      <c r="C32" s="16"/>
      <c r="D32" s="16"/>
      <c r="I32" s="16"/>
      <c r="J32" s="16"/>
    </row>
    <row r="33" spans="1:10" ht="12.75">
      <c r="A33" s="16" t="s">
        <v>79</v>
      </c>
      <c r="B33" s="16" t="s">
        <v>80</v>
      </c>
      <c r="C33" s="16"/>
      <c r="D33" s="16"/>
      <c r="I33" s="16"/>
      <c r="J33" s="16"/>
    </row>
    <row r="34" spans="1:10" ht="12.75">
      <c r="A34" s="16" t="s">
        <v>81</v>
      </c>
      <c r="B34" s="16" t="s">
        <v>82</v>
      </c>
      <c r="I34" s="16"/>
      <c r="J34" s="16"/>
    </row>
    <row r="35" spans="1:256" s="2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O53"/>
  <sheetViews>
    <sheetView tabSelected="1" zoomScalePageLayoutView="0" workbookViewId="0" topLeftCell="A1">
      <pane xSplit="5" topLeftCell="S1" activePane="topRight" state="frozen"/>
      <selection pane="topLeft" activeCell="A1" sqref="A1"/>
      <selection pane="topRight" activeCell="Y3" sqref="Y3"/>
    </sheetView>
  </sheetViews>
  <sheetFormatPr defaultColWidth="9.00390625" defaultRowHeight="12" customHeight="1"/>
  <cols>
    <col min="1" max="1" width="4.625" style="19" customWidth="1"/>
    <col min="2" max="2" width="11.75390625" style="19" customWidth="1"/>
    <col min="3" max="5" width="7.25390625" style="19" customWidth="1"/>
    <col min="6" max="30" width="6.00390625" style="19" customWidth="1"/>
    <col min="31" max="31" width="6.75390625" style="19" customWidth="1"/>
    <col min="32" max="34" width="6.00390625" style="19" customWidth="1"/>
    <col min="35" max="35" width="6.625" style="19" customWidth="1"/>
    <col min="36" max="36" width="20.625" style="19" bestFit="1" customWidth="1"/>
    <col min="37" max="37" width="8.875" style="20" customWidth="1"/>
    <col min="38" max="38" width="20.625" style="19" customWidth="1"/>
    <col min="39" max="16384" width="9.00390625" style="19" customWidth="1"/>
  </cols>
  <sheetData>
    <row r="1" ht="17.25" customHeight="1">
      <c r="A1" s="28" t="s">
        <v>173</v>
      </c>
    </row>
    <row r="2" spans="2:9" ht="12" customHeight="1">
      <c r="B2" s="21" t="s">
        <v>95</v>
      </c>
      <c r="C2" s="21"/>
      <c r="D2" s="21"/>
      <c r="E2" s="21"/>
      <c r="H2" s="35" t="s">
        <v>90</v>
      </c>
      <c r="I2" s="19" t="s">
        <v>165</v>
      </c>
    </row>
    <row r="3" spans="2:18" ht="12" customHeight="1">
      <c r="B3" s="19" t="s">
        <v>134</v>
      </c>
      <c r="H3" s="50" t="s">
        <v>89</v>
      </c>
      <c r="I3" s="23" t="s">
        <v>167</v>
      </c>
      <c r="M3" s="60" t="s">
        <v>254</v>
      </c>
      <c r="N3" s="60"/>
      <c r="O3" s="60"/>
      <c r="P3" s="60"/>
      <c r="Q3" s="60"/>
      <c r="R3" s="60"/>
    </row>
    <row r="4" spans="2:22" ht="12" customHeight="1">
      <c r="B4" s="22" t="s">
        <v>164</v>
      </c>
      <c r="C4" s="22"/>
      <c r="D4" s="22"/>
      <c r="E4" s="22"/>
      <c r="H4" s="35" t="s">
        <v>88</v>
      </c>
      <c r="I4" s="19" t="s">
        <v>166</v>
      </c>
      <c r="M4" s="60" t="s">
        <v>251</v>
      </c>
      <c r="N4" s="60"/>
      <c r="O4" s="60"/>
      <c r="P4" s="60"/>
      <c r="Q4" s="60"/>
      <c r="R4" s="60"/>
      <c r="S4" s="60"/>
      <c r="T4" s="60"/>
      <c r="U4" s="60"/>
      <c r="V4" s="60"/>
    </row>
    <row r="5" spans="2:3" ht="12" customHeight="1">
      <c r="B5" s="96" t="s">
        <v>239</v>
      </c>
      <c r="C5" s="96"/>
    </row>
    <row r="6" spans="36:41" ht="12" customHeight="1">
      <c r="AJ6" s="37" t="s">
        <v>159</v>
      </c>
      <c r="AL6" s="37" t="s">
        <v>161</v>
      </c>
      <c r="AO6" s="108"/>
    </row>
    <row r="7" spans="3:39" s="21" customFormat="1" ht="12" customHeight="1">
      <c r="C7" s="21" t="s">
        <v>230</v>
      </c>
      <c r="D7" s="21" t="s">
        <v>231</v>
      </c>
      <c r="E7" s="21" t="s">
        <v>153</v>
      </c>
      <c r="F7" s="29">
        <v>1970</v>
      </c>
      <c r="G7" s="29">
        <v>1975</v>
      </c>
      <c r="H7" s="29">
        <v>1979</v>
      </c>
      <c r="I7" s="29">
        <v>1980</v>
      </c>
      <c r="J7" s="29">
        <v>1981</v>
      </c>
      <c r="K7" s="29">
        <v>1982</v>
      </c>
      <c r="L7" s="29">
        <v>1983</v>
      </c>
      <c r="M7" s="29">
        <v>1984</v>
      </c>
      <c r="N7" s="29">
        <v>1985</v>
      </c>
      <c r="O7" s="29">
        <v>1986</v>
      </c>
      <c r="P7" s="29">
        <v>1987</v>
      </c>
      <c r="Q7" s="29">
        <v>1988</v>
      </c>
      <c r="R7" s="29">
        <v>1989</v>
      </c>
      <c r="S7" s="29">
        <v>1990</v>
      </c>
      <c r="T7" s="29">
        <v>1991</v>
      </c>
      <c r="U7" s="29">
        <v>1992</v>
      </c>
      <c r="V7" s="29">
        <v>1993</v>
      </c>
      <c r="W7" s="29">
        <v>1994</v>
      </c>
      <c r="X7" s="29">
        <v>1995</v>
      </c>
      <c r="Y7" s="29">
        <v>1996</v>
      </c>
      <c r="Z7" s="29">
        <v>1997</v>
      </c>
      <c r="AA7" s="29">
        <v>1998</v>
      </c>
      <c r="AB7" s="29">
        <v>1999</v>
      </c>
      <c r="AC7" s="29">
        <v>2000</v>
      </c>
      <c r="AD7" s="29">
        <v>2001</v>
      </c>
      <c r="AE7" s="29">
        <v>2002</v>
      </c>
      <c r="AF7" s="29">
        <v>2003</v>
      </c>
      <c r="AG7" s="29">
        <v>2004</v>
      </c>
      <c r="AH7" s="29">
        <v>2005</v>
      </c>
      <c r="AI7" s="19"/>
      <c r="AJ7" s="37" t="s">
        <v>160</v>
      </c>
      <c r="AK7" s="45" t="s">
        <v>111</v>
      </c>
      <c r="AL7" s="37" t="s">
        <v>162</v>
      </c>
      <c r="AM7" s="45" t="s">
        <v>111</v>
      </c>
    </row>
    <row r="8" spans="1:39" ht="12" customHeight="1">
      <c r="A8" s="30" t="s">
        <v>20</v>
      </c>
      <c r="B8" s="19" t="s">
        <v>21</v>
      </c>
      <c r="C8" s="91" t="s">
        <v>232</v>
      </c>
      <c r="D8" s="91" t="s">
        <v>232</v>
      </c>
      <c r="E8" s="91" t="s">
        <v>232</v>
      </c>
      <c r="F8" s="39" t="s">
        <v>85</v>
      </c>
      <c r="G8" s="39" t="s">
        <v>85</v>
      </c>
      <c r="H8" s="39" t="s">
        <v>85</v>
      </c>
      <c r="I8" s="39" t="s">
        <v>85</v>
      </c>
      <c r="J8" s="39" t="s">
        <v>85</v>
      </c>
      <c r="K8" s="39" t="s">
        <v>85</v>
      </c>
      <c r="L8" s="39" t="s">
        <v>85</v>
      </c>
      <c r="M8" s="39" t="s">
        <v>85</v>
      </c>
      <c r="N8" s="39" t="s">
        <v>85</v>
      </c>
      <c r="O8" s="39" t="s">
        <v>85</v>
      </c>
      <c r="P8" s="39" t="s">
        <v>85</v>
      </c>
      <c r="Q8" s="39" t="s">
        <v>85</v>
      </c>
      <c r="R8" s="39">
        <v>1406</v>
      </c>
      <c r="S8" s="39">
        <v>1445</v>
      </c>
      <c r="T8" s="39">
        <v>1450</v>
      </c>
      <c r="U8" s="39">
        <v>1554</v>
      </c>
      <c r="V8" s="39">
        <v>1557</v>
      </c>
      <c r="W8" s="39">
        <v>1559</v>
      </c>
      <c r="X8" s="39">
        <v>1596</v>
      </c>
      <c r="Y8" s="39">
        <v>1607</v>
      </c>
      <c r="Z8" s="39">
        <v>1613</v>
      </c>
      <c r="AA8" s="39">
        <v>1613</v>
      </c>
      <c r="AB8" s="39">
        <v>1634</v>
      </c>
      <c r="AC8" s="39">
        <v>1633</v>
      </c>
      <c r="AD8" s="39">
        <v>1645</v>
      </c>
      <c r="AE8" s="39">
        <v>1645</v>
      </c>
      <c r="AF8" s="39">
        <v>1670</v>
      </c>
      <c r="AG8" s="39">
        <v>1677</v>
      </c>
      <c r="AH8" s="39">
        <v>1677</v>
      </c>
      <c r="AJ8" s="42">
        <f>AH8-S8</f>
        <v>232</v>
      </c>
      <c r="AK8" s="48">
        <f>AJ8/S8*100</f>
        <v>16.055363321799305</v>
      </c>
      <c r="AL8" s="46">
        <f>AH8-X8</f>
        <v>81</v>
      </c>
      <c r="AM8" s="48">
        <f>AL8/X8*100</f>
        <v>5.075187969924812</v>
      </c>
    </row>
    <row r="9" spans="1:39" ht="12" customHeight="1">
      <c r="A9" s="30" t="s">
        <v>23</v>
      </c>
      <c r="B9" s="19" t="s">
        <v>24</v>
      </c>
      <c r="C9" s="91" t="s">
        <v>232</v>
      </c>
      <c r="D9" s="91" t="s">
        <v>232</v>
      </c>
      <c r="E9" s="91" t="s">
        <v>232</v>
      </c>
      <c r="F9" s="39">
        <v>501</v>
      </c>
      <c r="G9" s="39">
        <v>1051</v>
      </c>
      <c r="H9" s="39">
        <v>1203</v>
      </c>
      <c r="I9" s="39">
        <v>1251</v>
      </c>
      <c r="J9" s="39">
        <v>1315</v>
      </c>
      <c r="K9" s="39">
        <v>1388</v>
      </c>
      <c r="L9" s="39">
        <v>1456</v>
      </c>
      <c r="M9" s="39">
        <v>1476</v>
      </c>
      <c r="N9" s="39">
        <v>1534</v>
      </c>
      <c r="O9" s="39">
        <v>1549</v>
      </c>
      <c r="P9" s="39">
        <v>1567</v>
      </c>
      <c r="Q9" s="39">
        <v>1613</v>
      </c>
      <c r="R9" s="39">
        <v>1631</v>
      </c>
      <c r="S9" s="39">
        <v>1666</v>
      </c>
      <c r="T9" s="39">
        <v>1650</v>
      </c>
      <c r="U9" s="39">
        <v>1658</v>
      </c>
      <c r="V9" s="39">
        <v>1665</v>
      </c>
      <c r="W9" s="39">
        <v>1666</v>
      </c>
      <c r="X9" s="39">
        <v>1666</v>
      </c>
      <c r="Y9" s="39">
        <v>1674</v>
      </c>
      <c r="Z9" s="39">
        <v>1679</v>
      </c>
      <c r="AA9" s="39">
        <v>1682</v>
      </c>
      <c r="AB9" s="39">
        <v>1691</v>
      </c>
      <c r="AC9" s="39">
        <v>1702</v>
      </c>
      <c r="AD9" s="39">
        <v>1727</v>
      </c>
      <c r="AE9" s="39">
        <v>1729</v>
      </c>
      <c r="AF9" s="39">
        <v>1729</v>
      </c>
      <c r="AG9" s="39">
        <v>1747</v>
      </c>
      <c r="AH9" s="39">
        <v>1747</v>
      </c>
      <c r="AJ9" s="42">
        <f aca="true" t="shared" si="0" ref="AJ9:AJ38">AH9-S9</f>
        <v>81</v>
      </c>
      <c r="AK9" s="48">
        <f aca="true" t="shared" si="1" ref="AK9:AK38">AJ9/S9*100</f>
        <v>4.861944777911164</v>
      </c>
      <c r="AL9" s="46">
        <f aca="true" t="shared" si="2" ref="AL9:AL38">AH9-X9</f>
        <v>81</v>
      </c>
      <c r="AM9" s="48">
        <f aca="true" t="shared" si="3" ref="AM9:AM38">AL9/X9*100</f>
        <v>4.861944777911164</v>
      </c>
    </row>
    <row r="10" spans="1:39" ht="12" customHeight="1">
      <c r="A10" s="30" t="s">
        <v>25</v>
      </c>
      <c r="B10" s="19" t="s">
        <v>26</v>
      </c>
      <c r="C10" s="91" t="s">
        <v>232</v>
      </c>
      <c r="D10" s="91" t="s">
        <v>232</v>
      </c>
      <c r="E10" s="91" t="s">
        <v>233</v>
      </c>
      <c r="F10" s="39" t="s">
        <v>85</v>
      </c>
      <c r="G10" s="39" t="s">
        <v>85</v>
      </c>
      <c r="H10" s="39" t="s">
        <v>85</v>
      </c>
      <c r="I10" s="39" t="s">
        <v>85</v>
      </c>
      <c r="J10" s="39" t="s">
        <v>85</v>
      </c>
      <c r="K10" s="39" t="s">
        <v>85</v>
      </c>
      <c r="L10" s="39" t="s">
        <v>85</v>
      </c>
      <c r="M10" s="39" t="s">
        <v>85</v>
      </c>
      <c r="N10" s="39" t="s">
        <v>85</v>
      </c>
      <c r="O10" s="39" t="s">
        <v>85</v>
      </c>
      <c r="P10" s="39" t="s">
        <v>85</v>
      </c>
      <c r="Q10" s="39" t="s">
        <v>85</v>
      </c>
      <c r="R10" s="39" t="s">
        <v>85</v>
      </c>
      <c r="S10" s="39">
        <v>273</v>
      </c>
      <c r="T10" s="40">
        <v>273</v>
      </c>
      <c r="U10" s="40">
        <v>273</v>
      </c>
      <c r="V10" s="40">
        <v>273</v>
      </c>
      <c r="W10" s="40">
        <v>273</v>
      </c>
      <c r="X10" s="40">
        <v>273</v>
      </c>
      <c r="Y10" s="39">
        <v>314</v>
      </c>
      <c r="Z10" s="39">
        <v>314</v>
      </c>
      <c r="AA10" s="39">
        <v>319</v>
      </c>
      <c r="AB10" s="39">
        <v>324</v>
      </c>
      <c r="AC10" s="39">
        <v>324</v>
      </c>
      <c r="AD10" s="39">
        <v>328</v>
      </c>
      <c r="AE10" s="39">
        <v>328</v>
      </c>
      <c r="AF10" s="39">
        <v>328</v>
      </c>
      <c r="AG10" s="39">
        <v>331</v>
      </c>
      <c r="AH10" s="39">
        <v>331</v>
      </c>
      <c r="AJ10" s="42">
        <f t="shared" si="0"/>
        <v>58</v>
      </c>
      <c r="AK10" s="48">
        <f t="shared" si="1"/>
        <v>21.245421245421245</v>
      </c>
      <c r="AL10" s="46">
        <f t="shared" si="2"/>
        <v>58</v>
      </c>
      <c r="AM10" s="48">
        <f t="shared" si="3"/>
        <v>21.245421245421245</v>
      </c>
    </row>
    <row r="11" spans="1:39" ht="12" customHeight="1">
      <c r="A11" s="30" t="s">
        <v>27</v>
      </c>
      <c r="B11" s="19" t="s">
        <v>28</v>
      </c>
      <c r="C11" s="91" t="s">
        <v>232</v>
      </c>
      <c r="D11" s="91" t="s">
        <v>232</v>
      </c>
      <c r="E11" s="91" t="s">
        <v>233</v>
      </c>
      <c r="F11" s="39" t="s">
        <v>85</v>
      </c>
      <c r="G11" s="39" t="s">
        <v>85</v>
      </c>
      <c r="H11" s="39" t="s">
        <v>85</v>
      </c>
      <c r="I11" s="39" t="s">
        <v>85</v>
      </c>
      <c r="J11" s="39" t="s">
        <v>85</v>
      </c>
      <c r="K11" s="39" t="s">
        <v>85</v>
      </c>
      <c r="L11" s="39" t="s">
        <v>85</v>
      </c>
      <c r="M11" s="39" t="s">
        <v>85</v>
      </c>
      <c r="N11" s="39" t="s">
        <v>85</v>
      </c>
      <c r="O11" s="39" t="s">
        <v>85</v>
      </c>
      <c r="P11" s="39" t="s">
        <v>85</v>
      </c>
      <c r="Q11" s="39" t="s">
        <v>85</v>
      </c>
      <c r="R11" s="39" t="s">
        <v>85</v>
      </c>
      <c r="S11" s="94">
        <f>V11</f>
        <v>154</v>
      </c>
      <c r="T11" s="95">
        <f>V11</f>
        <v>154</v>
      </c>
      <c r="U11" s="95">
        <f>V11</f>
        <v>154</v>
      </c>
      <c r="V11" s="39">
        <v>154</v>
      </c>
      <c r="W11" s="39">
        <v>159</v>
      </c>
      <c r="X11" s="39">
        <v>167.5</v>
      </c>
      <c r="Y11" s="39">
        <v>167.5</v>
      </c>
      <c r="Z11" s="39">
        <v>193.5</v>
      </c>
      <c r="AA11" s="39">
        <v>204</v>
      </c>
      <c r="AB11" s="39">
        <v>216</v>
      </c>
      <c r="AC11" s="39">
        <v>240</v>
      </c>
      <c r="AD11" s="39">
        <v>257</v>
      </c>
      <c r="AE11" s="39">
        <v>268</v>
      </c>
      <c r="AF11" s="39">
        <v>268</v>
      </c>
      <c r="AG11" s="39">
        <v>268</v>
      </c>
      <c r="AH11" s="39">
        <v>276</v>
      </c>
      <c r="AJ11" s="42">
        <f t="shared" si="0"/>
        <v>122</v>
      </c>
      <c r="AK11" s="49" t="s">
        <v>163</v>
      </c>
      <c r="AL11" s="46">
        <f t="shared" si="2"/>
        <v>108.5</v>
      </c>
      <c r="AM11" s="48">
        <f t="shared" si="3"/>
        <v>64.77611940298507</v>
      </c>
    </row>
    <row r="12" spans="1:39" ht="12" customHeight="1">
      <c r="A12" s="30" t="s">
        <v>29</v>
      </c>
      <c r="B12" s="19" t="s">
        <v>30</v>
      </c>
      <c r="C12" s="91" t="s">
        <v>232</v>
      </c>
      <c r="D12" s="91" t="s">
        <v>232</v>
      </c>
      <c r="E12" s="91" t="s">
        <v>233</v>
      </c>
      <c r="F12" s="39" t="s">
        <v>85</v>
      </c>
      <c r="G12" s="39" t="s">
        <v>85</v>
      </c>
      <c r="H12" s="39" t="s">
        <v>85</v>
      </c>
      <c r="I12" s="39" t="s">
        <v>85</v>
      </c>
      <c r="J12" s="39" t="s">
        <v>85</v>
      </c>
      <c r="K12" s="39" t="s">
        <v>85</v>
      </c>
      <c r="L12" s="39" t="s">
        <v>85</v>
      </c>
      <c r="M12" s="39" t="s">
        <v>85</v>
      </c>
      <c r="N12" s="39" t="s">
        <v>85</v>
      </c>
      <c r="O12" s="39" t="s">
        <v>85</v>
      </c>
      <c r="P12" s="39" t="s">
        <v>85</v>
      </c>
      <c r="Q12" s="39" t="s">
        <v>85</v>
      </c>
      <c r="R12" s="39" t="s">
        <v>85</v>
      </c>
      <c r="S12" s="39">
        <v>357</v>
      </c>
      <c r="T12" s="39">
        <v>362</v>
      </c>
      <c r="U12" s="39">
        <v>366</v>
      </c>
      <c r="V12" s="39">
        <v>390</v>
      </c>
      <c r="W12" s="39">
        <v>392</v>
      </c>
      <c r="X12" s="39">
        <v>414</v>
      </c>
      <c r="Y12" s="39">
        <v>423</v>
      </c>
      <c r="Z12" s="39">
        <v>486</v>
      </c>
      <c r="AA12" s="39">
        <v>499.4</v>
      </c>
      <c r="AB12" s="39">
        <v>499.4</v>
      </c>
      <c r="AC12" s="39">
        <v>499.4</v>
      </c>
      <c r="AD12" s="39">
        <v>517.6</v>
      </c>
      <c r="AE12" s="39">
        <v>517.7</v>
      </c>
      <c r="AF12" s="39">
        <v>517.761</v>
      </c>
      <c r="AG12" s="39">
        <v>546.3</v>
      </c>
      <c r="AH12" s="39">
        <v>564.4</v>
      </c>
      <c r="AJ12" s="42">
        <f t="shared" si="0"/>
        <v>207.39999999999998</v>
      </c>
      <c r="AK12" s="48">
        <f t="shared" si="1"/>
        <v>58.09523809523809</v>
      </c>
      <c r="AL12" s="46">
        <f t="shared" si="2"/>
        <v>150.39999999999998</v>
      </c>
      <c r="AM12" s="48">
        <f t="shared" si="3"/>
        <v>36.32850241545893</v>
      </c>
    </row>
    <row r="13" spans="1:39" ht="12" customHeight="1">
      <c r="A13" s="30" t="s">
        <v>33</v>
      </c>
      <c r="B13" s="19" t="s">
        <v>34</v>
      </c>
      <c r="C13" s="91" t="s">
        <v>232</v>
      </c>
      <c r="D13" s="91" t="s">
        <v>232</v>
      </c>
      <c r="E13" s="91" t="s">
        <v>232</v>
      </c>
      <c r="F13" s="39">
        <v>198</v>
      </c>
      <c r="G13" s="39">
        <v>345</v>
      </c>
      <c r="H13" s="39">
        <v>464</v>
      </c>
      <c r="I13" s="39">
        <v>504</v>
      </c>
      <c r="J13" s="39">
        <v>515</v>
      </c>
      <c r="K13" s="39">
        <v>516</v>
      </c>
      <c r="L13" s="39">
        <v>518</v>
      </c>
      <c r="M13" s="39">
        <v>539</v>
      </c>
      <c r="N13" s="39">
        <v>593</v>
      </c>
      <c r="O13" s="39">
        <v>593</v>
      </c>
      <c r="P13" s="39">
        <v>599</v>
      </c>
      <c r="Q13" s="39">
        <v>599</v>
      </c>
      <c r="R13" s="39">
        <v>601</v>
      </c>
      <c r="S13" s="39">
        <v>601</v>
      </c>
      <c r="T13" s="39">
        <v>653</v>
      </c>
      <c r="U13" s="39">
        <v>696</v>
      </c>
      <c r="V13" s="39">
        <v>747</v>
      </c>
      <c r="W13" s="39">
        <v>796</v>
      </c>
      <c r="X13" s="39">
        <v>796</v>
      </c>
      <c r="Y13" s="39">
        <v>832</v>
      </c>
      <c r="Z13" s="39">
        <v>855</v>
      </c>
      <c r="AA13" s="39">
        <v>873</v>
      </c>
      <c r="AB13" s="39">
        <v>892</v>
      </c>
      <c r="AC13" s="39">
        <v>953</v>
      </c>
      <c r="AD13" s="39">
        <v>971</v>
      </c>
      <c r="AE13" s="39">
        <v>1010</v>
      </c>
      <c r="AF13" s="40">
        <v>1010</v>
      </c>
      <c r="AG13" s="40">
        <v>1010</v>
      </c>
      <c r="AH13" s="40">
        <v>1010</v>
      </c>
      <c r="AI13" s="22"/>
      <c r="AJ13" s="42">
        <f t="shared" si="0"/>
        <v>409</v>
      </c>
      <c r="AK13" s="48">
        <f t="shared" si="1"/>
        <v>68.05324459234609</v>
      </c>
      <c r="AL13" s="46">
        <f t="shared" si="2"/>
        <v>214</v>
      </c>
      <c r="AM13" s="48">
        <f t="shared" si="3"/>
        <v>26.884422110552762</v>
      </c>
    </row>
    <row r="14" spans="1:39" ht="12" customHeight="1">
      <c r="A14" s="30" t="s">
        <v>35</v>
      </c>
      <c r="B14" s="19" t="s">
        <v>36</v>
      </c>
      <c r="C14" s="91" t="s">
        <v>232</v>
      </c>
      <c r="D14" s="91" t="s">
        <v>232</v>
      </c>
      <c r="E14" s="91" t="s">
        <v>233</v>
      </c>
      <c r="F14" s="39" t="s">
        <v>85</v>
      </c>
      <c r="G14" s="39" t="s">
        <v>85</v>
      </c>
      <c r="H14" s="39" t="s">
        <v>85</v>
      </c>
      <c r="I14" s="39" t="s">
        <v>85</v>
      </c>
      <c r="J14" s="39" t="s">
        <v>85</v>
      </c>
      <c r="K14" s="39" t="s">
        <v>85</v>
      </c>
      <c r="L14" s="39" t="s">
        <v>85</v>
      </c>
      <c r="M14" s="39" t="s">
        <v>85</v>
      </c>
      <c r="N14" s="39" t="s">
        <v>85</v>
      </c>
      <c r="O14" s="39" t="s">
        <v>85</v>
      </c>
      <c r="P14" s="39" t="s">
        <v>85</v>
      </c>
      <c r="Q14" s="39" t="s">
        <v>85</v>
      </c>
      <c r="R14" s="39" t="s">
        <v>85</v>
      </c>
      <c r="S14" s="39">
        <v>41</v>
      </c>
      <c r="T14" s="39">
        <v>50</v>
      </c>
      <c r="U14" s="39">
        <v>60</v>
      </c>
      <c r="V14" s="39">
        <v>62</v>
      </c>
      <c r="W14" s="39">
        <v>64</v>
      </c>
      <c r="X14" s="39">
        <v>65</v>
      </c>
      <c r="Y14" s="39">
        <v>65</v>
      </c>
      <c r="Z14" s="39">
        <v>68</v>
      </c>
      <c r="AA14" s="39">
        <v>73.6</v>
      </c>
      <c r="AB14" s="39">
        <v>86.6</v>
      </c>
      <c r="AC14" s="39">
        <v>93</v>
      </c>
      <c r="AD14" s="39">
        <v>93</v>
      </c>
      <c r="AE14" s="39">
        <v>98</v>
      </c>
      <c r="AF14" s="39">
        <v>98</v>
      </c>
      <c r="AG14" s="39">
        <v>96</v>
      </c>
      <c r="AH14" s="39">
        <v>99</v>
      </c>
      <c r="AJ14" s="42">
        <f t="shared" si="0"/>
        <v>58</v>
      </c>
      <c r="AK14" s="48">
        <f t="shared" si="1"/>
        <v>141.46341463414635</v>
      </c>
      <c r="AL14" s="46">
        <f t="shared" si="2"/>
        <v>34</v>
      </c>
      <c r="AM14" s="48">
        <f t="shared" si="3"/>
        <v>52.307692307692314</v>
      </c>
    </row>
    <row r="15" spans="1:39" ht="12" customHeight="1">
      <c r="A15" s="30" t="s">
        <v>41</v>
      </c>
      <c r="B15" s="19" t="s">
        <v>42</v>
      </c>
      <c r="C15" s="91" t="s">
        <v>232</v>
      </c>
      <c r="D15" s="91" t="s">
        <v>232</v>
      </c>
      <c r="E15" s="91" t="s">
        <v>232</v>
      </c>
      <c r="F15" s="39">
        <v>152</v>
      </c>
      <c r="G15" s="39">
        <v>168</v>
      </c>
      <c r="H15" s="39" t="s">
        <v>85</v>
      </c>
      <c r="I15" s="39">
        <v>185</v>
      </c>
      <c r="J15" s="39">
        <v>204</v>
      </c>
      <c r="K15" s="39">
        <v>204</v>
      </c>
      <c r="L15" s="39">
        <v>204</v>
      </c>
      <c r="M15" s="39">
        <v>204</v>
      </c>
      <c r="N15" s="39">
        <v>204</v>
      </c>
      <c r="O15" s="39">
        <v>204</v>
      </c>
      <c r="P15" s="39">
        <v>204</v>
      </c>
      <c r="Q15" s="39">
        <v>214</v>
      </c>
      <c r="R15" s="39">
        <v>215</v>
      </c>
      <c r="S15" s="39">
        <v>225</v>
      </c>
      <c r="T15" s="39">
        <v>249</v>
      </c>
      <c r="U15" s="39">
        <v>318</v>
      </c>
      <c r="V15" s="39">
        <v>337</v>
      </c>
      <c r="W15" s="39">
        <v>388</v>
      </c>
      <c r="X15" s="39">
        <v>394</v>
      </c>
      <c r="Y15" s="39">
        <v>431</v>
      </c>
      <c r="Z15" s="39">
        <v>444</v>
      </c>
      <c r="AA15" s="39">
        <v>473</v>
      </c>
      <c r="AB15" s="39">
        <v>512</v>
      </c>
      <c r="AC15" s="39">
        <v>549</v>
      </c>
      <c r="AD15" s="39">
        <v>591</v>
      </c>
      <c r="AE15" s="39">
        <v>603</v>
      </c>
      <c r="AF15" s="39">
        <v>653</v>
      </c>
      <c r="AG15" s="39">
        <v>653</v>
      </c>
      <c r="AH15" s="39">
        <v>693</v>
      </c>
      <c r="AJ15" s="42">
        <f t="shared" si="0"/>
        <v>468</v>
      </c>
      <c r="AK15" s="48">
        <f t="shared" si="1"/>
        <v>208</v>
      </c>
      <c r="AL15" s="46">
        <f t="shared" si="2"/>
        <v>299</v>
      </c>
      <c r="AM15" s="48">
        <f t="shared" si="3"/>
        <v>75.88832487309645</v>
      </c>
    </row>
    <row r="16" spans="1:39" ht="12" customHeight="1">
      <c r="A16" s="30" t="s">
        <v>43</v>
      </c>
      <c r="B16" s="19" t="s">
        <v>44</v>
      </c>
      <c r="C16" s="91" t="s">
        <v>232</v>
      </c>
      <c r="D16" s="91" t="s">
        <v>232</v>
      </c>
      <c r="E16" s="91" t="s">
        <v>232</v>
      </c>
      <c r="F16" s="39">
        <v>1542</v>
      </c>
      <c r="G16" s="39">
        <v>3119</v>
      </c>
      <c r="H16" s="39">
        <v>4895</v>
      </c>
      <c r="I16" s="39">
        <v>5287</v>
      </c>
      <c r="J16" s="39">
        <v>5289</v>
      </c>
      <c r="K16" s="39">
        <v>5290</v>
      </c>
      <c r="L16" s="39">
        <v>5497</v>
      </c>
      <c r="M16" s="39">
        <v>5497</v>
      </c>
      <c r="N16" s="39">
        <v>5885</v>
      </c>
      <c r="O16" s="39">
        <v>6019</v>
      </c>
      <c r="P16" s="39">
        <v>6206</v>
      </c>
      <c r="Q16" s="39">
        <v>6328</v>
      </c>
      <c r="R16" s="39">
        <v>6680</v>
      </c>
      <c r="S16" s="39">
        <v>6824</v>
      </c>
      <c r="T16" s="39">
        <v>7080</v>
      </c>
      <c r="U16" s="39">
        <v>7408</v>
      </c>
      <c r="V16" s="39">
        <v>7614</v>
      </c>
      <c r="W16" s="39">
        <v>7956</v>
      </c>
      <c r="X16" s="39">
        <v>8275</v>
      </c>
      <c r="Y16" s="39">
        <v>8596</v>
      </c>
      <c r="Z16" s="39">
        <v>8864</v>
      </c>
      <c r="AA16" s="39">
        <v>9303</v>
      </c>
      <c r="AB16" s="39">
        <v>9626</v>
      </c>
      <c r="AC16" s="39">
        <v>9766</v>
      </c>
      <c r="AD16" s="39">
        <v>10068</v>
      </c>
      <c r="AE16" s="39">
        <v>10223</v>
      </c>
      <c r="AF16" s="39">
        <v>10379</v>
      </c>
      <c r="AG16" s="39">
        <v>10486</v>
      </c>
      <c r="AH16" s="39">
        <v>10800</v>
      </c>
      <c r="AJ16" s="42">
        <f t="shared" si="0"/>
        <v>3976</v>
      </c>
      <c r="AK16" s="48">
        <f t="shared" si="1"/>
        <v>58.26494724501758</v>
      </c>
      <c r="AL16" s="46">
        <f t="shared" si="2"/>
        <v>2525</v>
      </c>
      <c r="AM16" s="48">
        <f t="shared" si="3"/>
        <v>30.513595166163142</v>
      </c>
    </row>
    <row r="17" spans="1:39" ht="12" customHeight="1">
      <c r="A17" s="30" t="s">
        <v>31</v>
      </c>
      <c r="B17" s="19" t="s">
        <v>168</v>
      </c>
      <c r="C17" s="91" t="s">
        <v>232</v>
      </c>
      <c r="D17" s="91" t="s">
        <v>232</v>
      </c>
      <c r="E17" s="91" t="s">
        <v>232</v>
      </c>
      <c r="F17" s="39">
        <v>4461</v>
      </c>
      <c r="G17" s="39">
        <v>6207</v>
      </c>
      <c r="H17" s="39">
        <v>7292</v>
      </c>
      <c r="I17" s="39">
        <v>7538</v>
      </c>
      <c r="J17" s="39">
        <v>7784</v>
      </c>
      <c r="K17" s="39">
        <v>7919</v>
      </c>
      <c r="L17" s="39">
        <v>8080</v>
      </c>
      <c r="M17" s="39">
        <v>8198</v>
      </c>
      <c r="N17" s="39">
        <v>8350</v>
      </c>
      <c r="O17" s="39">
        <v>8437</v>
      </c>
      <c r="P17" s="39">
        <v>8618</v>
      </c>
      <c r="Q17" s="39">
        <v>8721</v>
      </c>
      <c r="R17" s="39">
        <v>8822</v>
      </c>
      <c r="S17" s="39">
        <v>10854</v>
      </c>
      <c r="T17" s="39">
        <v>10955</v>
      </c>
      <c r="U17" s="39">
        <v>11013</v>
      </c>
      <c r="V17" s="39">
        <v>11080</v>
      </c>
      <c r="W17" s="39">
        <v>11143</v>
      </c>
      <c r="X17" s="39">
        <v>11190</v>
      </c>
      <c r="Y17" s="39">
        <v>11246</v>
      </c>
      <c r="Z17" s="39">
        <v>11309</v>
      </c>
      <c r="AA17" s="39">
        <v>11427</v>
      </c>
      <c r="AB17" s="39">
        <v>11515</v>
      </c>
      <c r="AC17" s="39">
        <v>11712</v>
      </c>
      <c r="AD17" s="39">
        <v>11786</v>
      </c>
      <c r="AE17" s="39">
        <v>12037</v>
      </c>
      <c r="AF17" s="39">
        <v>12044</v>
      </c>
      <c r="AG17" s="39">
        <v>12174</v>
      </c>
      <c r="AH17" s="39">
        <v>12363</v>
      </c>
      <c r="AJ17" s="42">
        <f t="shared" si="0"/>
        <v>1509</v>
      </c>
      <c r="AK17" s="48">
        <f t="shared" si="1"/>
        <v>13.902708678828082</v>
      </c>
      <c r="AL17" s="46">
        <f t="shared" si="2"/>
        <v>1173</v>
      </c>
      <c r="AM17" s="48">
        <f t="shared" si="3"/>
        <v>10.482573726541556</v>
      </c>
    </row>
    <row r="18" spans="1:39" ht="12" customHeight="1">
      <c r="A18" s="30" t="s">
        <v>37</v>
      </c>
      <c r="B18" s="19" t="s">
        <v>38</v>
      </c>
      <c r="C18" s="91" t="s">
        <v>232</v>
      </c>
      <c r="D18" s="91" t="s">
        <v>232</v>
      </c>
      <c r="E18" s="91" t="s">
        <v>232</v>
      </c>
      <c r="F18" s="39">
        <v>65</v>
      </c>
      <c r="G18" s="39">
        <v>76</v>
      </c>
      <c r="H18" s="39">
        <v>86</v>
      </c>
      <c r="I18" s="39">
        <v>91</v>
      </c>
      <c r="J18" s="39">
        <v>91</v>
      </c>
      <c r="K18" s="39">
        <v>91</v>
      </c>
      <c r="L18" s="39">
        <v>91</v>
      </c>
      <c r="M18" s="39">
        <v>91</v>
      </c>
      <c r="N18" s="39">
        <v>91</v>
      </c>
      <c r="O18" s="39">
        <v>91</v>
      </c>
      <c r="P18" s="39">
        <v>91</v>
      </c>
      <c r="Q18" s="39">
        <v>91</v>
      </c>
      <c r="R18" s="39">
        <v>120</v>
      </c>
      <c r="S18" s="39">
        <v>190</v>
      </c>
      <c r="T18" s="39">
        <v>225</v>
      </c>
      <c r="U18" s="39">
        <v>280</v>
      </c>
      <c r="V18" s="40">
        <v>280</v>
      </c>
      <c r="W18" s="40">
        <v>280</v>
      </c>
      <c r="X18" s="40">
        <v>280</v>
      </c>
      <c r="Y18" s="40">
        <v>280</v>
      </c>
      <c r="Z18" s="40">
        <v>280</v>
      </c>
      <c r="AA18" s="40">
        <v>280</v>
      </c>
      <c r="AB18" s="40">
        <v>280</v>
      </c>
      <c r="AC18" s="40">
        <v>280</v>
      </c>
      <c r="AD18" s="40">
        <v>280</v>
      </c>
      <c r="AE18" s="40">
        <v>280</v>
      </c>
      <c r="AF18" s="40">
        <v>280</v>
      </c>
      <c r="AG18" s="40">
        <v>280</v>
      </c>
      <c r="AH18" s="40">
        <v>280</v>
      </c>
      <c r="AI18" s="22"/>
      <c r="AJ18" s="42">
        <f t="shared" si="0"/>
        <v>90</v>
      </c>
      <c r="AK18" s="48">
        <f t="shared" si="1"/>
        <v>47.368421052631575</v>
      </c>
      <c r="AL18" s="46">
        <f t="shared" si="2"/>
        <v>0</v>
      </c>
      <c r="AM18" s="48">
        <f t="shared" si="3"/>
        <v>0</v>
      </c>
    </row>
    <row r="19" spans="1:39" ht="12" customHeight="1">
      <c r="A19" s="30" t="s">
        <v>47</v>
      </c>
      <c r="B19" s="19" t="s">
        <v>48</v>
      </c>
      <c r="C19" s="91" t="s">
        <v>232</v>
      </c>
      <c r="D19" s="91" t="s">
        <v>232</v>
      </c>
      <c r="E19" s="91" t="s">
        <v>233</v>
      </c>
      <c r="F19" s="39">
        <v>134</v>
      </c>
      <c r="G19" s="39">
        <v>201</v>
      </c>
      <c r="H19" s="39" t="s">
        <v>85</v>
      </c>
      <c r="I19" s="39">
        <v>209</v>
      </c>
      <c r="J19" s="39" t="s">
        <v>85</v>
      </c>
      <c r="K19" s="39" t="s">
        <v>85</v>
      </c>
      <c r="L19" s="39" t="s">
        <v>85</v>
      </c>
      <c r="M19" s="39" t="s">
        <v>85</v>
      </c>
      <c r="N19" s="39">
        <v>297</v>
      </c>
      <c r="O19" s="39" t="s">
        <v>85</v>
      </c>
      <c r="P19" s="39" t="s">
        <v>85</v>
      </c>
      <c r="Q19" s="39" t="s">
        <v>85</v>
      </c>
      <c r="R19" s="39">
        <v>323</v>
      </c>
      <c r="S19" s="39">
        <v>267</v>
      </c>
      <c r="T19" s="39">
        <v>269</v>
      </c>
      <c r="U19" s="39">
        <v>269</v>
      </c>
      <c r="V19" s="39">
        <v>269</v>
      </c>
      <c r="W19" s="39">
        <v>293</v>
      </c>
      <c r="X19" s="39">
        <v>335</v>
      </c>
      <c r="Y19" s="39">
        <v>365</v>
      </c>
      <c r="Z19" s="39">
        <v>382</v>
      </c>
      <c r="AA19" s="39">
        <v>448</v>
      </c>
      <c r="AB19" s="39">
        <v>448</v>
      </c>
      <c r="AC19" s="39">
        <v>448</v>
      </c>
      <c r="AD19" s="39">
        <v>448</v>
      </c>
      <c r="AE19" s="39">
        <v>533</v>
      </c>
      <c r="AF19" s="39">
        <v>542</v>
      </c>
      <c r="AG19" s="39">
        <v>569</v>
      </c>
      <c r="AH19" s="39">
        <v>636</v>
      </c>
      <c r="AJ19" s="42">
        <f>AH19-S19</f>
        <v>369</v>
      </c>
      <c r="AK19" s="48">
        <f>AJ19/S19*100</f>
        <v>138.20224719101125</v>
      </c>
      <c r="AL19" s="46">
        <f t="shared" si="2"/>
        <v>301</v>
      </c>
      <c r="AM19" s="48">
        <f t="shared" si="3"/>
        <v>89.8507462686567</v>
      </c>
    </row>
    <row r="20" spans="1:39" ht="12" customHeight="1">
      <c r="A20" s="30" t="s">
        <v>51</v>
      </c>
      <c r="B20" s="19" t="s">
        <v>52</v>
      </c>
      <c r="C20" s="91" t="s">
        <v>232</v>
      </c>
      <c r="D20" s="91" t="s">
        <v>233</v>
      </c>
      <c r="E20" s="91" t="s">
        <v>233</v>
      </c>
      <c r="F20" s="39" t="s">
        <v>85</v>
      </c>
      <c r="G20" s="39" t="s">
        <v>85</v>
      </c>
      <c r="H20" s="39" t="s">
        <v>85</v>
      </c>
      <c r="I20" s="39" t="s">
        <v>85</v>
      </c>
      <c r="J20" s="39" t="s">
        <v>85</v>
      </c>
      <c r="K20" s="39" t="s">
        <v>85</v>
      </c>
      <c r="L20" s="39" t="s">
        <v>85</v>
      </c>
      <c r="M20" s="39" t="s">
        <v>85</v>
      </c>
      <c r="N20" s="39" t="s">
        <v>85</v>
      </c>
      <c r="O20" s="39" t="s">
        <v>85</v>
      </c>
      <c r="P20" s="39" t="s">
        <v>85</v>
      </c>
      <c r="Q20" s="39" t="s">
        <v>85</v>
      </c>
      <c r="R20" s="39" t="s">
        <v>85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41"/>
      <c r="AI20" s="23" t="s">
        <v>245</v>
      </c>
      <c r="AJ20" s="42"/>
      <c r="AK20" s="49"/>
      <c r="AL20" s="46"/>
      <c r="AM20" s="49"/>
    </row>
    <row r="21" spans="1:39" ht="12" customHeight="1">
      <c r="A21" s="30" t="s">
        <v>49</v>
      </c>
      <c r="B21" s="19" t="s">
        <v>50</v>
      </c>
      <c r="C21" s="91" t="s">
        <v>232</v>
      </c>
      <c r="D21" s="91" t="s">
        <v>232</v>
      </c>
      <c r="E21" s="91" t="s">
        <v>232</v>
      </c>
      <c r="F21" s="39" t="s">
        <v>85</v>
      </c>
      <c r="G21" s="39" t="s">
        <v>85</v>
      </c>
      <c r="H21" s="39" t="s">
        <v>86</v>
      </c>
      <c r="I21" s="39" t="s">
        <v>86</v>
      </c>
      <c r="J21" s="39" t="s">
        <v>86</v>
      </c>
      <c r="K21" s="39" t="s">
        <v>86</v>
      </c>
      <c r="L21" s="39">
        <v>8</v>
      </c>
      <c r="M21" s="39">
        <v>8</v>
      </c>
      <c r="N21" s="39">
        <v>8</v>
      </c>
      <c r="O21" s="39">
        <v>8</v>
      </c>
      <c r="P21" s="39">
        <v>8</v>
      </c>
      <c r="Q21" s="39">
        <v>8</v>
      </c>
      <c r="R21" s="39">
        <v>8</v>
      </c>
      <c r="S21" s="39">
        <v>26</v>
      </c>
      <c r="T21" s="39">
        <v>32</v>
      </c>
      <c r="U21" s="39">
        <v>32</v>
      </c>
      <c r="V21" s="39">
        <v>53</v>
      </c>
      <c r="W21" s="39">
        <v>72</v>
      </c>
      <c r="X21" s="39">
        <v>70</v>
      </c>
      <c r="Y21" s="39">
        <v>80</v>
      </c>
      <c r="Z21" s="39">
        <v>94</v>
      </c>
      <c r="AA21" s="39">
        <v>103</v>
      </c>
      <c r="AB21" s="39">
        <v>103</v>
      </c>
      <c r="AC21" s="39">
        <v>103</v>
      </c>
      <c r="AD21" s="39">
        <v>125</v>
      </c>
      <c r="AE21" s="39">
        <v>125</v>
      </c>
      <c r="AF21" s="39">
        <v>176</v>
      </c>
      <c r="AG21" s="39">
        <v>192</v>
      </c>
      <c r="AH21" s="39">
        <v>247</v>
      </c>
      <c r="AJ21" s="42">
        <f t="shared" si="0"/>
        <v>221</v>
      </c>
      <c r="AK21" s="48">
        <f t="shared" si="1"/>
        <v>850</v>
      </c>
      <c r="AL21" s="46">
        <f t="shared" si="2"/>
        <v>177</v>
      </c>
      <c r="AM21" s="48">
        <f t="shared" si="3"/>
        <v>252.85714285714283</v>
      </c>
    </row>
    <row r="22" spans="1:39" ht="12" customHeight="1">
      <c r="A22" s="30" t="s">
        <v>53</v>
      </c>
      <c r="B22" s="19" t="s">
        <v>54</v>
      </c>
      <c r="C22" s="91" t="s">
        <v>232</v>
      </c>
      <c r="D22" s="91" t="s">
        <v>232</v>
      </c>
      <c r="E22" s="91" t="s">
        <v>232</v>
      </c>
      <c r="F22" s="39">
        <v>3913</v>
      </c>
      <c r="G22" s="39">
        <v>5329</v>
      </c>
      <c r="H22" s="39">
        <v>5900</v>
      </c>
      <c r="I22" s="39">
        <v>5900</v>
      </c>
      <c r="J22" s="39">
        <v>5900</v>
      </c>
      <c r="K22" s="39">
        <v>5901</v>
      </c>
      <c r="L22" s="39">
        <v>5901</v>
      </c>
      <c r="M22" s="39">
        <v>5941</v>
      </c>
      <c r="N22" s="39">
        <v>5955</v>
      </c>
      <c r="O22" s="39">
        <v>5997</v>
      </c>
      <c r="P22" s="39">
        <v>6091</v>
      </c>
      <c r="Q22" s="39">
        <v>6091</v>
      </c>
      <c r="R22" s="39">
        <v>6193</v>
      </c>
      <c r="S22" s="39">
        <v>6193</v>
      </c>
      <c r="T22" s="39">
        <v>6301</v>
      </c>
      <c r="U22" s="39">
        <v>6289</v>
      </c>
      <c r="V22" s="39">
        <v>6401</v>
      </c>
      <c r="W22" s="39">
        <v>6375</v>
      </c>
      <c r="X22" s="39">
        <v>6435</v>
      </c>
      <c r="Y22" s="39">
        <v>6465</v>
      </c>
      <c r="Z22" s="39">
        <v>6469</v>
      </c>
      <c r="AA22" s="39">
        <v>6478</v>
      </c>
      <c r="AB22" s="39">
        <v>6478</v>
      </c>
      <c r="AC22" s="40">
        <v>6478</v>
      </c>
      <c r="AD22" s="40">
        <v>6478</v>
      </c>
      <c r="AE22" s="40">
        <v>6478</v>
      </c>
      <c r="AF22" s="40">
        <v>6478</v>
      </c>
      <c r="AG22" s="40">
        <v>6478</v>
      </c>
      <c r="AH22" s="40">
        <v>6478</v>
      </c>
      <c r="AI22" s="22"/>
      <c r="AJ22" s="42">
        <f t="shared" si="0"/>
        <v>285</v>
      </c>
      <c r="AK22" s="48">
        <f t="shared" si="1"/>
        <v>4.601969966090748</v>
      </c>
      <c r="AL22" s="46">
        <f t="shared" si="2"/>
        <v>43</v>
      </c>
      <c r="AM22" s="48">
        <f t="shared" si="3"/>
        <v>0.6682206682206682</v>
      </c>
    </row>
    <row r="23" spans="1:39" ht="12" customHeight="1">
      <c r="A23" s="30" t="s">
        <v>59</v>
      </c>
      <c r="B23" s="19" t="s">
        <v>60</v>
      </c>
      <c r="C23" s="91" t="s">
        <v>232</v>
      </c>
      <c r="D23" s="91" t="s">
        <v>232</v>
      </c>
      <c r="E23" s="91" t="s">
        <v>233</v>
      </c>
      <c r="F23" s="39" t="s">
        <v>85</v>
      </c>
      <c r="G23" s="39" t="s">
        <v>85</v>
      </c>
      <c r="H23" s="39" t="s">
        <v>85</v>
      </c>
      <c r="I23" s="39" t="s">
        <v>85</v>
      </c>
      <c r="J23" s="39" t="s">
        <v>85</v>
      </c>
      <c r="K23" s="39" t="s">
        <v>85</v>
      </c>
      <c r="L23" s="39" t="s">
        <v>85</v>
      </c>
      <c r="M23" s="39" t="s">
        <v>85</v>
      </c>
      <c r="N23" s="39" t="s">
        <v>85</v>
      </c>
      <c r="O23" s="39" t="s">
        <v>85</v>
      </c>
      <c r="P23" s="39" t="s">
        <v>85</v>
      </c>
      <c r="Q23" s="39" t="s">
        <v>85</v>
      </c>
      <c r="R23" s="39" t="s">
        <v>85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J23" s="42">
        <f t="shared" si="0"/>
        <v>0</v>
      </c>
      <c r="AK23" s="49" t="s">
        <v>163</v>
      </c>
      <c r="AL23" s="46">
        <f t="shared" si="2"/>
        <v>0</v>
      </c>
      <c r="AM23" s="49" t="s">
        <v>163</v>
      </c>
    </row>
    <row r="24" spans="1:39" ht="12" customHeight="1">
      <c r="A24" s="30" t="s">
        <v>55</v>
      </c>
      <c r="B24" s="19" t="s">
        <v>87</v>
      </c>
      <c r="C24" s="91" t="s">
        <v>232</v>
      </c>
      <c r="D24" s="91" t="s">
        <v>232</v>
      </c>
      <c r="E24" s="91" t="s">
        <v>233</v>
      </c>
      <c r="F24" s="39" t="s">
        <v>85</v>
      </c>
      <c r="G24" s="39" t="s">
        <v>85</v>
      </c>
      <c r="H24" s="39" t="s">
        <v>85</v>
      </c>
      <c r="I24" s="39" t="s">
        <v>85</v>
      </c>
      <c r="J24" s="39" t="s">
        <v>85</v>
      </c>
      <c r="K24" s="39" t="s">
        <v>85</v>
      </c>
      <c r="L24" s="39" t="s">
        <v>85</v>
      </c>
      <c r="M24" s="39" t="s">
        <v>85</v>
      </c>
      <c r="N24" s="39" t="s">
        <v>85</v>
      </c>
      <c r="O24" s="39" t="s">
        <v>85</v>
      </c>
      <c r="P24" s="39" t="s">
        <v>85</v>
      </c>
      <c r="Q24" s="39" t="s">
        <v>85</v>
      </c>
      <c r="R24" s="39" t="s">
        <v>85</v>
      </c>
      <c r="S24" s="39">
        <v>421</v>
      </c>
      <c r="T24" s="39">
        <v>376</v>
      </c>
      <c r="U24" s="39">
        <v>382</v>
      </c>
      <c r="V24" s="39">
        <v>394</v>
      </c>
      <c r="W24" s="39">
        <v>394</v>
      </c>
      <c r="X24" s="39">
        <v>394</v>
      </c>
      <c r="Y24" s="39">
        <v>404</v>
      </c>
      <c r="Z24" s="39">
        <v>410</v>
      </c>
      <c r="AA24" s="39">
        <v>417</v>
      </c>
      <c r="AB24" s="39">
        <v>417</v>
      </c>
      <c r="AC24" s="39">
        <v>417</v>
      </c>
      <c r="AD24" s="39">
        <v>417</v>
      </c>
      <c r="AE24" s="39">
        <v>417.1</v>
      </c>
      <c r="AF24" s="39">
        <v>417</v>
      </c>
      <c r="AG24" s="39">
        <v>417</v>
      </c>
      <c r="AH24" s="39">
        <v>417</v>
      </c>
      <c r="AJ24" s="42">
        <f>AH24-S24</f>
        <v>-4</v>
      </c>
      <c r="AK24" s="48">
        <f t="shared" si="1"/>
        <v>-0.9501187648456058</v>
      </c>
      <c r="AL24" s="46">
        <f t="shared" si="2"/>
        <v>23</v>
      </c>
      <c r="AM24" s="48">
        <f t="shared" si="3"/>
        <v>5.83756345177665</v>
      </c>
    </row>
    <row r="25" spans="1:39" ht="12" customHeight="1">
      <c r="A25" s="30" t="s">
        <v>57</v>
      </c>
      <c r="B25" s="19" t="s">
        <v>97</v>
      </c>
      <c r="C25" s="91" t="s">
        <v>232</v>
      </c>
      <c r="D25" s="91" t="s">
        <v>232</v>
      </c>
      <c r="E25" s="91" t="s">
        <v>232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0"/>
      <c r="Y25" s="40"/>
      <c r="Z25" s="40"/>
      <c r="AA25" s="39"/>
      <c r="AB25" s="39"/>
      <c r="AC25" s="39"/>
      <c r="AD25" s="39"/>
      <c r="AE25" s="40"/>
      <c r="AF25" s="40"/>
      <c r="AG25" s="40"/>
      <c r="AH25" s="40"/>
      <c r="AI25" s="80" t="s">
        <v>249</v>
      </c>
      <c r="AJ25" s="42"/>
      <c r="AK25" s="48"/>
      <c r="AL25" s="46"/>
      <c r="AM25" s="48"/>
    </row>
    <row r="26" spans="1:39" ht="12" customHeight="1">
      <c r="A26" s="30" t="s">
        <v>61</v>
      </c>
      <c r="B26" s="19" t="s">
        <v>62</v>
      </c>
      <c r="C26" s="91" t="s">
        <v>232</v>
      </c>
      <c r="D26" s="91" t="s">
        <v>232</v>
      </c>
      <c r="E26" s="91" t="s">
        <v>233</v>
      </c>
      <c r="F26" s="39" t="s">
        <v>85</v>
      </c>
      <c r="G26" s="39" t="s">
        <v>85</v>
      </c>
      <c r="H26" s="39" t="s">
        <v>85</v>
      </c>
      <c r="I26" s="39" t="s">
        <v>85</v>
      </c>
      <c r="J26" s="39" t="s">
        <v>85</v>
      </c>
      <c r="K26" s="39" t="s">
        <v>85</v>
      </c>
      <c r="L26" s="39" t="s">
        <v>85</v>
      </c>
      <c r="M26" s="39" t="s">
        <v>85</v>
      </c>
      <c r="N26" s="39" t="s">
        <v>85</v>
      </c>
      <c r="O26" s="39" t="s">
        <v>85</v>
      </c>
      <c r="P26" s="39" t="s">
        <v>85</v>
      </c>
      <c r="Q26" s="39" t="s">
        <v>85</v>
      </c>
      <c r="R26" s="39" t="s">
        <v>85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22"/>
      <c r="AJ26" s="42">
        <f>AH26-S26</f>
        <v>0</v>
      </c>
      <c r="AK26" s="49" t="s">
        <v>163</v>
      </c>
      <c r="AL26" s="46">
        <f t="shared" si="2"/>
        <v>0</v>
      </c>
      <c r="AM26" s="49" t="s">
        <v>163</v>
      </c>
    </row>
    <row r="27" spans="1:39" ht="12" customHeight="1">
      <c r="A27" s="30" t="s">
        <v>63</v>
      </c>
      <c r="B27" s="19" t="s">
        <v>64</v>
      </c>
      <c r="C27" s="91" t="s">
        <v>232</v>
      </c>
      <c r="D27" s="91" t="s">
        <v>232</v>
      </c>
      <c r="E27" s="91" t="s">
        <v>232</v>
      </c>
      <c r="F27" s="39">
        <v>975</v>
      </c>
      <c r="G27" s="39">
        <v>1525</v>
      </c>
      <c r="H27" s="39">
        <v>1774</v>
      </c>
      <c r="I27" s="39">
        <v>1798</v>
      </c>
      <c r="J27" s="39">
        <v>1831</v>
      </c>
      <c r="K27" s="39">
        <v>1841</v>
      </c>
      <c r="L27" s="39">
        <v>1884</v>
      </c>
      <c r="M27" s="39">
        <v>1956</v>
      </c>
      <c r="N27" s="39">
        <v>1915</v>
      </c>
      <c r="O27" s="39">
        <v>1978</v>
      </c>
      <c r="P27" s="39">
        <v>1984</v>
      </c>
      <c r="Q27" s="39">
        <v>2045</v>
      </c>
      <c r="R27" s="39">
        <v>2061</v>
      </c>
      <c r="S27" s="39">
        <v>2092</v>
      </c>
      <c r="T27" s="40">
        <v>2092</v>
      </c>
      <c r="U27" s="39">
        <v>2134</v>
      </c>
      <c r="V27" s="40">
        <v>2134</v>
      </c>
      <c r="W27" s="40">
        <v>2134</v>
      </c>
      <c r="X27" s="39">
        <v>2208</v>
      </c>
      <c r="Y27" s="40">
        <v>2208</v>
      </c>
      <c r="Z27" s="39">
        <v>2336</v>
      </c>
      <c r="AA27" s="39">
        <v>2225</v>
      </c>
      <c r="AB27" s="39">
        <v>2291</v>
      </c>
      <c r="AC27" s="39">
        <v>2265</v>
      </c>
      <c r="AD27" s="39">
        <v>2281</v>
      </c>
      <c r="AE27" s="39">
        <v>2281</v>
      </c>
      <c r="AF27" s="39">
        <v>2308</v>
      </c>
      <c r="AG27" s="39">
        <v>2342</v>
      </c>
      <c r="AH27" s="40">
        <v>2342</v>
      </c>
      <c r="AI27" s="22"/>
      <c r="AJ27" s="42">
        <f t="shared" si="0"/>
        <v>250</v>
      </c>
      <c r="AK27" s="48">
        <f t="shared" si="1"/>
        <v>11.950286806883364</v>
      </c>
      <c r="AL27" s="46">
        <f t="shared" si="2"/>
        <v>134</v>
      </c>
      <c r="AM27" s="48">
        <f t="shared" si="3"/>
        <v>6.068840579710145</v>
      </c>
    </row>
    <row r="28" spans="1:39" ht="12" customHeight="1">
      <c r="A28" s="30" t="s">
        <v>65</v>
      </c>
      <c r="B28" s="19" t="s">
        <v>66</v>
      </c>
      <c r="C28" s="91" t="s">
        <v>232</v>
      </c>
      <c r="D28" s="91" t="s">
        <v>233</v>
      </c>
      <c r="E28" s="91" t="s">
        <v>233</v>
      </c>
      <c r="F28" s="39">
        <v>41</v>
      </c>
      <c r="G28" s="39" t="s">
        <v>85</v>
      </c>
      <c r="H28" s="39" t="s">
        <v>85</v>
      </c>
      <c r="I28" s="39">
        <v>57</v>
      </c>
      <c r="J28" s="39" t="s">
        <v>85</v>
      </c>
      <c r="K28" s="39" t="s">
        <v>85</v>
      </c>
      <c r="L28" s="39" t="s">
        <v>85</v>
      </c>
      <c r="M28" s="39" t="s">
        <v>85</v>
      </c>
      <c r="N28" s="39" t="s">
        <v>85</v>
      </c>
      <c r="O28" s="39" t="s">
        <v>85</v>
      </c>
      <c r="P28" s="39" t="s">
        <v>85</v>
      </c>
      <c r="Q28" s="39">
        <v>355</v>
      </c>
      <c r="R28" s="39">
        <v>379</v>
      </c>
      <c r="S28" s="39">
        <v>73</v>
      </c>
      <c r="T28" s="39">
        <v>437</v>
      </c>
      <c r="U28" s="39">
        <v>437</v>
      </c>
      <c r="V28" s="39">
        <v>512</v>
      </c>
      <c r="W28" s="39">
        <v>94</v>
      </c>
      <c r="X28" s="39">
        <v>107</v>
      </c>
      <c r="Y28" s="39">
        <v>103</v>
      </c>
      <c r="Z28" s="39">
        <v>109</v>
      </c>
      <c r="AA28" s="39">
        <v>128</v>
      </c>
      <c r="AB28" s="39">
        <v>128</v>
      </c>
      <c r="AC28" s="39">
        <v>144</v>
      </c>
      <c r="AD28" s="39">
        <v>143</v>
      </c>
      <c r="AE28" s="39">
        <v>173</v>
      </c>
      <c r="AF28" s="40">
        <v>173</v>
      </c>
      <c r="AG28" s="39">
        <v>193</v>
      </c>
      <c r="AH28" s="39">
        <v>264</v>
      </c>
      <c r="AJ28" s="42">
        <f t="shared" si="0"/>
        <v>191</v>
      </c>
      <c r="AK28" s="48">
        <f t="shared" si="1"/>
        <v>261.6438356164383</v>
      </c>
      <c r="AL28" s="46">
        <f t="shared" si="2"/>
        <v>157</v>
      </c>
      <c r="AM28" s="48">
        <f t="shared" si="3"/>
        <v>146.72897196261684</v>
      </c>
    </row>
    <row r="29" spans="1:39" ht="12" customHeight="1">
      <c r="A29" s="30" t="s">
        <v>67</v>
      </c>
      <c r="B29" s="19" t="s">
        <v>68</v>
      </c>
      <c r="C29" s="91" t="s">
        <v>232</v>
      </c>
      <c r="D29" s="91" t="s">
        <v>232</v>
      </c>
      <c r="E29" s="91" t="s">
        <v>233</v>
      </c>
      <c r="F29" s="39" t="s">
        <v>85</v>
      </c>
      <c r="G29" s="39">
        <v>139</v>
      </c>
      <c r="H29" s="39" t="s">
        <v>85</v>
      </c>
      <c r="I29" s="39">
        <v>139</v>
      </c>
      <c r="J29" s="39" t="s">
        <v>85</v>
      </c>
      <c r="K29" s="39" t="s">
        <v>85</v>
      </c>
      <c r="L29" s="39" t="s">
        <v>85</v>
      </c>
      <c r="M29" s="39" t="s">
        <v>85</v>
      </c>
      <c r="N29" s="39">
        <v>204</v>
      </c>
      <c r="O29" s="39" t="s">
        <v>85</v>
      </c>
      <c r="P29" s="39" t="s">
        <v>85</v>
      </c>
      <c r="Q29" s="39" t="s">
        <v>85</v>
      </c>
      <c r="R29" s="39">
        <v>243</v>
      </c>
      <c r="S29" s="39">
        <v>257</v>
      </c>
      <c r="T29" s="39">
        <v>239</v>
      </c>
      <c r="U29" s="39">
        <v>257</v>
      </c>
      <c r="V29" s="39">
        <v>231</v>
      </c>
      <c r="W29" s="39">
        <v>245</v>
      </c>
      <c r="X29" s="39">
        <v>246</v>
      </c>
      <c r="Y29" s="39">
        <v>258</v>
      </c>
      <c r="Z29" s="39">
        <v>264</v>
      </c>
      <c r="AA29" s="39">
        <v>268</v>
      </c>
      <c r="AB29" s="39">
        <v>317</v>
      </c>
      <c r="AC29" s="39">
        <v>358</v>
      </c>
      <c r="AD29" s="39">
        <v>398</v>
      </c>
      <c r="AE29" s="39">
        <v>405</v>
      </c>
      <c r="AF29" s="39">
        <v>405</v>
      </c>
      <c r="AG29" s="39">
        <v>552</v>
      </c>
      <c r="AH29" s="39">
        <v>552</v>
      </c>
      <c r="AJ29" s="42">
        <f t="shared" si="0"/>
        <v>295</v>
      </c>
      <c r="AK29" s="48">
        <f t="shared" si="1"/>
        <v>114.78599221789882</v>
      </c>
      <c r="AL29" s="46">
        <f t="shared" si="2"/>
        <v>306</v>
      </c>
      <c r="AM29" s="48">
        <f t="shared" si="3"/>
        <v>124.39024390243902</v>
      </c>
    </row>
    <row r="30" spans="1:39" ht="12" customHeight="1">
      <c r="A30" s="30" t="s">
        <v>69</v>
      </c>
      <c r="B30" s="19" t="s">
        <v>70</v>
      </c>
      <c r="C30" s="91" t="s">
        <v>232</v>
      </c>
      <c r="D30" s="91" t="s">
        <v>232</v>
      </c>
      <c r="E30" s="91" t="s">
        <v>232</v>
      </c>
      <c r="F30" s="39">
        <v>60</v>
      </c>
      <c r="G30" s="39">
        <v>90</v>
      </c>
      <c r="H30" s="39">
        <v>74</v>
      </c>
      <c r="I30" s="39">
        <v>132</v>
      </c>
      <c r="J30" s="39">
        <v>132</v>
      </c>
      <c r="K30" s="39">
        <v>169</v>
      </c>
      <c r="L30" s="39">
        <v>169</v>
      </c>
      <c r="M30" s="39">
        <v>195</v>
      </c>
      <c r="N30" s="39">
        <v>196</v>
      </c>
      <c r="O30" s="39">
        <v>196</v>
      </c>
      <c r="P30" s="39">
        <v>211</v>
      </c>
      <c r="Q30" s="39">
        <v>211</v>
      </c>
      <c r="R30" s="39">
        <v>256</v>
      </c>
      <c r="S30" s="39">
        <v>316</v>
      </c>
      <c r="T30" s="39">
        <v>474</v>
      </c>
      <c r="U30" s="39">
        <v>520</v>
      </c>
      <c r="V30" s="39">
        <v>579</v>
      </c>
      <c r="W30" s="39">
        <v>587</v>
      </c>
      <c r="X30" s="39">
        <v>687</v>
      </c>
      <c r="Y30" s="39">
        <v>710</v>
      </c>
      <c r="Z30" s="39">
        <v>797</v>
      </c>
      <c r="AA30" s="39">
        <v>1252</v>
      </c>
      <c r="AB30" s="39">
        <v>1441</v>
      </c>
      <c r="AC30" s="39">
        <v>1482</v>
      </c>
      <c r="AD30" s="39">
        <v>1659</v>
      </c>
      <c r="AE30" s="39">
        <v>1835</v>
      </c>
      <c r="AF30" s="40">
        <v>1835</v>
      </c>
      <c r="AG30" s="40">
        <v>1835</v>
      </c>
      <c r="AH30" s="40">
        <v>1835</v>
      </c>
      <c r="AI30" s="22"/>
      <c r="AJ30" s="42">
        <f t="shared" si="0"/>
        <v>1519</v>
      </c>
      <c r="AK30" s="48">
        <f t="shared" si="1"/>
        <v>480.6962025316456</v>
      </c>
      <c r="AL30" s="46">
        <f t="shared" si="2"/>
        <v>1148</v>
      </c>
      <c r="AM30" s="48">
        <f t="shared" si="3"/>
        <v>167.10334788937408</v>
      </c>
    </row>
    <row r="31" spans="1:39" ht="12" customHeight="1">
      <c r="A31" s="30" t="s">
        <v>71</v>
      </c>
      <c r="B31" s="19" t="s">
        <v>72</v>
      </c>
      <c r="C31" s="91" t="s">
        <v>232</v>
      </c>
      <c r="D31" s="91" t="s">
        <v>232</v>
      </c>
      <c r="E31" s="91" t="s">
        <v>233</v>
      </c>
      <c r="F31" s="39" t="s">
        <v>85</v>
      </c>
      <c r="G31" s="39" t="s">
        <v>85</v>
      </c>
      <c r="H31" s="39" t="s">
        <v>85</v>
      </c>
      <c r="I31" s="39" t="s">
        <v>85</v>
      </c>
      <c r="J31" s="39" t="s">
        <v>85</v>
      </c>
      <c r="K31" s="39" t="s">
        <v>85</v>
      </c>
      <c r="L31" s="39" t="s">
        <v>85</v>
      </c>
      <c r="M31" s="39" t="s">
        <v>85</v>
      </c>
      <c r="N31" s="39" t="s">
        <v>85</v>
      </c>
      <c r="O31" s="39" t="s">
        <v>85</v>
      </c>
      <c r="P31" s="39" t="s">
        <v>85</v>
      </c>
      <c r="Q31" s="39" t="s">
        <v>85</v>
      </c>
      <c r="R31" s="39" t="s">
        <v>85</v>
      </c>
      <c r="S31" s="39">
        <v>113</v>
      </c>
      <c r="T31" s="39">
        <v>113</v>
      </c>
      <c r="U31" s="39">
        <v>113</v>
      </c>
      <c r="V31" s="39">
        <v>113</v>
      </c>
      <c r="W31" s="39">
        <v>113</v>
      </c>
      <c r="X31" s="39">
        <v>113</v>
      </c>
      <c r="Y31" s="39">
        <v>113</v>
      </c>
      <c r="Z31" s="39">
        <v>113</v>
      </c>
      <c r="AA31" s="39">
        <v>113</v>
      </c>
      <c r="AB31" s="39">
        <v>113</v>
      </c>
      <c r="AC31" s="39">
        <v>113</v>
      </c>
      <c r="AD31" s="39">
        <v>113</v>
      </c>
      <c r="AE31" s="39">
        <v>113</v>
      </c>
      <c r="AF31" s="40">
        <v>113</v>
      </c>
      <c r="AG31" s="39">
        <v>228</v>
      </c>
      <c r="AH31" s="39">
        <v>228</v>
      </c>
      <c r="AJ31" s="42">
        <f t="shared" si="0"/>
        <v>115</v>
      </c>
      <c r="AK31" s="48">
        <f t="shared" si="1"/>
        <v>101.76991150442478</v>
      </c>
      <c r="AL31" s="46">
        <f t="shared" si="2"/>
        <v>115</v>
      </c>
      <c r="AM31" s="48">
        <f t="shared" si="3"/>
        <v>101.76991150442478</v>
      </c>
    </row>
    <row r="32" spans="1:39" ht="12" customHeight="1">
      <c r="A32" s="30" t="s">
        <v>77</v>
      </c>
      <c r="B32" s="19" t="s">
        <v>78</v>
      </c>
      <c r="C32" s="91" t="s">
        <v>232</v>
      </c>
      <c r="D32" s="91" t="s">
        <v>232</v>
      </c>
      <c r="E32" s="91" t="s">
        <v>233</v>
      </c>
      <c r="F32" s="39" t="s">
        <v>85</v>
      </c>
      <c r="G32" s="39" t="s">
        <v>85</v>
      </c>
      <c r="H32" s="39" t="s">
        <v>85</v>
      </c>
      <c r="I32" s="39" t="s">
        <v>85</v>
      </c>
      <c r="J32" s="39" t="s">
        <v>85</v>
      </c>
      <c r="K32" s="39" t="s">
        <v>85</v>
      </c>
      <c r="L32" s="39" t="s">
        <v>85</v>
      </c>
      <c r="M32" s="39" t="s">
        <v>85</v>
      </c>
      <c r="N32" s="39" t="s">
        <v>85</v>
      </c>
      <c r="O32" s="39" t="s">
        <v>85</v>
      </c>
      <c r="P32" s="39" t="s">
        <v>85</v>
      </c>
      <c r="Q32" s="39" t="s">
        <v>85</v>
      </c>
      <c r="R32" s="39" t="s">
        <v>85</v>
      </c>
      <c r="S32" s="39">
        <v>192</v>
      </c>
      <c r="T32" s="39">
        <v>198</v>
      </c>
      <c r="U32" s="39">
        <v>198</v>
      </c>
      <c r="V32" s="39">
        <v>198</v>
      </c>
      <c r="W32" s="39">
        <v>198</v>
      </c>
      <c r="X32" s="39">
        <v>198</v>
      </c>
      <c r="Y32" s="39">
        <v>215</v>
      </c>
      <c r="Z32" s="39">
        <v>218.9</v>
      </c>
      <c r="AA32" s="39">
        <v>292</v>
      </c>
      <c r="AB32" s="39">
        <v>295</v>
      </c>
      <c r="AC32" s="39">
        <v>295.7</v>
      </c>
      <c r="AD32" s="39">
        <v>296.4</v>
      </c>
      <c r="AE32" s="39">
        <v>301.6</v>
      </c>
      <c r="AF32" s="39">
        <v>312.8</v>
      </c>
      <c r="AG32" s="39">
        <v>316.2</v>
      </c>
      <c r="AH32" s="39">
        <v>327.5</v>
      </c>
      <c r="AJ32" s="42">
        <f t="shared" si="0"/>
        <v>135.5</v>
      </c>
      <c r="AK32" s="48">
        <f t="shared" si="1"/>
        <v>70.57291666666666</v>
      </c>
      <c r="AL32" s="46">
        <f t="shared" si="2"/>
        <v>129.5</v>
      </c>
      <c r="AM32" s="48">
        <f t="shared" si="3"/>
        <v>65.40404040404042</v>
      </c>
    </row>
    <row r="33" spans="1:39" ht="12" customHeight="1">
      <c r="A33" s="30" t="s">
        <v>75</v>
      </c>
      <c r="B33" s="19" t="s">
        <v>76</v>
      </c>
      <c r="C33" s="91" t="s">
        <v>232</v>
      </c>
      <c r="D33" s="91" t="s">
        <v>232</v>
      </c>
      <c r="E33" s="91" t="s">
        <v>233</v>
      </c>
      <c r="F33" s="39" t="s">
        <v>85</v>
      </c>
      <c r="G33" s="39">
        <v>41</v>
      </c>
      <c r="H33" s="39" t="s">
        <v>85</v>
      </c>
      <c r="I33" s="39">
        <v>122</v>
      </c>
      <c r="J33" s="39" t="s">
        <v>85</v>
      </c>
      <c r="K33" s="39" t="s">
        <v>85</v>
      </c>
      <c r="L33" s="39" t="s">
        <v>85</v>
      </c>
      <c r="M33" s="39" t="s">
        <v>85</v>
      </c>
      <c r="N33" s="39">
        <v>199</v>
      </c>
      <c r="O33" s="39" t="s">
        <v>85</v>
      </c>
      <c r="P33" s="39" t="s">
        <v>85</v>
      </c>
      <c r="Q33" s="39" t="s">
        <v>85</v>
      </c>
      <c r="R33" s="39">
        <v>229</v>
      </c>
      <c r="S33" s="39">
        <v>228</v>
      </c>
      <c r="T33" s="39">
        <v>246</v>
      </c>
      <c r="U33" s="39">
        <v>254</v>
      </c>
      <c r="V33" s="39">
        <v>268</v>
      </c>
      <c r="W33" s="39">
        <v>277</v>
      </c>
      <c r="X33" s="39">
        <v>293</v>
      </c>
      <c r="Y33" s="39">
        <v>310</v>
      </c>
      <c r="Z33" s="39">
        <v>330</v>
      </c>
      <c r="AA33" s="39">
        <v>369</v>
      </c>
      <c r="AB33" s="39">
        <v>399</v>
      </c>
      <c r="AC33" s="39">
        <v>427</v>
      </c>
      <c r="AD33" s="39">
        <v>435</v>
      </c>
      <c r="AE33" s="39">
        <v>456</v>
      </c>
      <c r="AF33" s="39">
        <v>477</v>
      </c>
      <c r="AG33" s="39">
        <v>483</v>
      </c>
      <c r="AH33" s="39">
        <v>569</v>
      </c>
      <c r="AJ33" s="42">
        <f t="shared" si="0"/>
        <v>341</v>
      </c>
      <c r="AK33" s="48">
        <f t="shared" si="1"/>
        <v>149.56140350877195</v>
      </c>
      <c r="AL33" s="46">
        <f t="shared" si="2"/>
        <v>276</v>
      </c>
      <c r="AM33" s="48">
        <f t="shared" si="3"/>
        <v>94.19795221843003</v>
      </c>
    </row>
    <row r="34" spans="1:39" ht="12" customHeight="1">
      <c r="A34" s="30" t="s">
        <v>39</v>
      </c>
      <c r="B34" s="19" t="s">
        <v>40</v>
      </c>
      <c r="C34" s="91" t="s">
        <v>232</v>
      </c>
      <c r="D34" s="91" t="s">
        <v>232</v>
      </c>
      <c r="E34" s="91" t="s">
        <v>232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19" t="s">
        <v>250</v>
      </c>
      <c r="AJ34" s="42"/>
      <c r="AK34" s="48"/>
      <c r="AL34" s="46"/>
      <c r="AM34" s="48"/>
    </row>
    <row r="35" spans="1:39" ht="12" customHeight="1">
      <c r="A35" s="30" t="s">
        <v>73</v>
      </c>
      <c r="B35" s="19" t="s">
        <v>74</v>
      </c>
      <c r="C35" s="91" t="s">
        <v>232</v>
      </c>
      <c r="D35" s="91" t="s">
        <v>232</v>
      </c>
      <c r="E35" s="91" t="s">
        <v>232</v>
      </c>
      <c r="F35" s="39" t="s">
        <v>85</v>
      </c>
      <c r="G35" s="39" t="s">
        <v>85</v>
      </c>
      <c r="H35" s="39" t="s">
        <v>85</v>
      </c>
      <c r="I35" s="39" t="s">
        <v>85</v>
      </c>
      <c r="J35" s="39" t="s">
        <v>85</v>
      </c>
      <c r="K35" s="39" t="s">
        <v>85</v>
      </c>
      <c r="L35" s="39" t="s">
        <v>85</v>
      </c>
      <c r="M35" s="39" t="s">
        <v>85</v>
      </c>
      <c r="N35" s="39" t="s">
        <v>85</v>
      </c>
      <c r="O35" s="39" t="s">
        <v>85</v>
      </c>
      <c r="P35" s="39" t="s">
        <v>85</v>
      </c>
      <c r="Q35" s="39" t="s">
        <v>85</v>
      </c>
      <c r="R35" s="39">
        <v>929</v>
      </c>
      <c r="S35" s="39">
        <v>939</v>
      </c>
      <c r="T35" s="39">
        <v>968</v>
      </c>
      <c r="U35" s="39">
        <v>1005</v>
      </c>
      <c r="V35" s="39">
        <v>1061</v>
      </c>
      <c r="W35" s="39">
        <v>1125</v>
      </c>
      <c r="X35" s="39">
        <v>1262</v>
      </c>
      <c r="Y35" s="39">
        <v>1350</v>
      </c>
      <c r="Z35" s="39">
        <v>1423</v>
      </c>
      <c r="AA35" s="39">
        <v>1439</v>
      </c>
      <c r="AB35" s="39">
        <v>1484</v>
      </c>
      <c r="AC35" s="39">
        <v>1499</v>
      </c>
      <c r="AD35" s="39">
        <v>1507</v>
      </c>
      <c r="AE35" s="39">
        <v>1544</v>
      </c>
      <c r="AF35" s="39">
        <v>1591</v>
      </c>
      <c r="AG35" s="39">
        <v>1684</v>
      </c>
      <c r="AH35" s="39">
        <v>1677</v>
      </c>
      <c r="AJ35" s="42">
        <f t="shared" si="0"/>
        <v>738</v>
      </c>
      <c r="AK35" s="48">
        <f t="shared" si="1"/>
        <v>78.59424920127796</v>
      </c>
      <c r="AL35" s="46">
        <f t="shared" si="2"/>
        <v>415</v>
      </c>
      <c r="AM35" s="48">
        <f t="shared" si="3"/>
        <v>32.88431061806656</v>
      </c>
    </row>
    <row r="36" spans="1:39" ht="12" customHeight="1">
      <c r="A36" s="30" t="s">
        <v>154</v>
      </c>
      <c r="B36" s="19" t="s">
        <v>91</v>
      </c>
      <c r="C36" s="91" t="s">
        <v>232</v>
      </c>
      <c r="D36" s="91" t="s">
        <v>233</v>
      </c>
      <c r="E36" s="91" t="s">
        <v>233</v>
      </c>
      <c r="F36" s="39" t="s">
        <v>85</v>
      </c>
      <c r="G36" s="39" t="s">
        <v>85</v>
      </c>
      <c r="H36" s="39" t="s">
        <v>85</v>
      </c>
      <c r="I36" s="39" t="s">
        <v>85</v>
      </c>
      <c r="J36" s="39" t="s">
        <v>85</v>
      </c>
      <c r="K36" s="39" t="s">
        <v>85</v>
      </c>
      <c r="L36" s="39" t="s">
        <v>85</v>
      </c>
      <c r="M36" s="39" t="s">
        <v>85</v>
      </c>
      <c r="N36" s="39" t="s">
        <v>85</v>
      </c>
      <c r="O36" s="39" t="s">
        <v>85</v>
      </c>
      <c r="P36" s="39" t="s">
        <v>85</v>
      </c>
      <c r="Q36" s="39">
        <v>1486</v>
      </c>
      <c r="R36" s="39">
        <v>1495</v>
      </c>
      <c r="S36" s="39">
        <v>1148</v>
      </c>
      <c r="T36" s="39">
        <v>1152</v>
      </c>
      <c r="U36" s="39">
        <v>1164</v>
      </c>
      <c r="V36" s="39">
        <v>1184</v>
      </c>
      <c r="W36" s="39">
        <v>1184</v>
      </c>
      <c r="X36" s="39">
        <v>1540</v>
      </c>
      <c r="Y36" s="39">
        <v>1594</v>
      </c>
      <c r="Z36" s="39">
        <v>1258</v>
      </c>
      <c r="AA36" s="39">
        <v>1262</v>
      </c>
      <c r="AB36" s="39">
        <v>1267</v>
      </c>
      <c r="AC36" s="39">
        <v>1270</v>
      </c>
      <c r="AD36" s="39">
        <v>1305</v>
      </c>
      <c r="AE36" s="39">
        <v>1342</v>
      </c>
      <c r="AF36" s="39">
        <v>1351</v>
      </c>
      <c r="AG36" s="39">
        <v>1341</v>
      </c>
      <c r="AH36" s="40">
        <v>1341</v>
      </c>
      <c r="AI36" s="22"/>
      <c r="AJ36" s="42">
        <f t="shared" si="0"/>
        <v>193</v>
      </c>
      <c r="AK36" s="48">
        <f t="shared" si="1"/>
        <v>16.81184668989547</v>
      </c>
      <c r="AL36" s="46">
        <f t="shared" si="2"/>
        <v>-199</v>
      </c>
      <c r="AM36" s="48">
        <f t="shared" si="3"/>
        <v>-12.922077922077921</v>
      </c>
    </row>
    <row r="37" spans="1:39" ht="12" customHeight="1">
      <c r="A37" s="30" t="s">
        <v>79</v>
      </c>
      <c r="B37" s="19" t="s">
        <v>80</v>
      </c>
      <c r="C37" s="91" t="s">
        <v>232</v>
      </c>
      <c r="D37" s="91" t="s">
        <v>233</v>
      </c>
      <c r="E37" s="91" t="s">
        <v>233</v>
      </c>
      <c r="F37" s="39" t="s">
        <v>85</v>
      </c>
      <c r="G37" s="39" t="s">
        <v>85</v>
      </c>
      <c r="H37" s="39" t="s">
        <v>85</v>
      </c>
      <c r="I37" s="39" t="s">
        <v>85</v>
      </c>
      <c r="J37" s="39" t="s">
        <v>85</v>
      </c>
      <c r="K37" s="39" t="s">
        <v>85</v>
      </c>
      <c r="L37" s="39" t="s">
        <v>85</v>
      </c>
      <c r="M37" s="39" t="s">
        <v>85</v>
      </c>
      <c r="N37" s="39" t="s">
        <v>85</v>
      </c>
      <c r="O37" s="39" t="s">
        <v>85</v>
      </c>
      <c r="P37" s="39" t="s">
        <v>85</v>
      </c>
      <c r="Q37" s="39" t="s">
        <v>85</v>
      </c>
      <c r="R37" s="39" t="s">
        <v>85</v>
      </c>
      <c r="S37" s="39">
        <v>281</v>
      </c>
      <c r="T37" s="39">
        <v>387</v>
      </c>
      <c r="U37" s="39">
        <v>757</v>
      </c>
      <c r="V37" s="39">
        <v>1070</v>
      </c>
      <c r="W37" s="39">
        <v>1167</v>
      </c>
      <c r="X37" s="39">
        <v>1246</v>
      </c>
      <c r="Y37" s="39">
        <v>1405</v>
      </c>
      <c r="Z37" s="39">
        <v>1560</v>
      </c>
      <c r="AA37" s="39">
        <v>1726</v>
      </c>
      <c r="AB37" s="40">
        <v>1726</v>
      </c>
      <c r="AC37" s="39">
        <v>1773</v>
      </c>
      <c r="AD37" s="39">
        <v>1851</v>
      </c>
      <c r="AE37" s="39">
        <v>1851</v>
      </c>
      <c r="AF37" s="40">
        <v>1851</v>
      </c>
      <c r="AG37" s="40">
        <v>1851</v>
      </c>
      <c r="AH37" s="40">
        <v>1851</v>
      </c>
      <c r="AI37" s="22"/>
      <c r="AJ37" s="42">
        <f t="shared" si="0"/>
        <v>1570</v>
      </c>
      <c r="AK37" s="48">
        <f t="shared" si="1"/>
        <v>558.7188612099644</v>
      </c>
      <c r="AL37" s="46">
        <f t="shared" si="2"/>
        <v>605</v>
      </c>
      <c r="AM37" s="48">
        <f t="shared" si="3"/>
        <v>48.5553772070626</v>
      </c>
    </row>
    <row r="38" spans="1:39" ht="12" customHeight="1">
      <c r="A38" s="30" t="s">
        <v>81</v>
      </c>
      <c r="B38" s="19" t="s">
        <v>82</v>
      </c>
      <c r="C38" s="91" t="s">
        <v>232</v>
      </c>
      <c r="D38" s="91" t="s">
        <v>232</v>
      </c>
      <c r="E38" s="91" t="s">
        <v>232</v>
      </c>
      <c r="F38" s="39">
        <v>1133</v>
      </c>
      <c r="G38" s="39">
        <v>2082</v>
      </c>
      <c r="H38" s="39">
        <v>2578</v>
      </c>
      <c r="I38" s="39">
        <v>2694</v>
      </c>
      <c r="J38" s="39">
        <v>2748</v>
      </c>
      <c r="K38" s="39">
        <v>2765</v>
      </c>
      <c r="L38" s="39">
        <v>2822</v>
      </c>
      <c r="M38" s="39">
        <v>2895</v>
      </c>
      <c r="N38" s="39">
        <v>2951</v>
      </c>
      <c r="O38" s="39">
        <v>3038</v>
      </c>
      <c r="P38" s="39">
        <v>3092</v>
      </c>
      <c r="Q38" s="39">
        <v>3104</v>
      </c>
      <c r="R38" s="39">
        <v>3093</v>
      </c>
      <c r="S38" s="39">
        <v>3181</v>
      </c>
      <c r="T38" s="39">
        <v>3211</v>
      </c>
      <c r="U38" s="39">
        <v>3246</v>
      </c>
      <c r="V38" s="39">
        <v>3211</v>
      </c>
      <c r="W38" s="39">
        <v>3242</v>
      </c>
      <c r="X38" s="39">
        <v>3269</v>
      </c>
      <c r="Y38" s="39">
        <v>3298</v>
      </c>
      <c r="Z38" s="39">
        <v>3378</v>
      </c>
      <c r="AA38" s="39">
        <v>3554</v>
      </c>
      <c r="AB38" s="39">
        <v>3582</v>
      </c>
      <c r="AC38" s="39">
        <v>3600</v>
      </c>
      <c r="AD38" s="39">
        <v>3610</v>
      </c>
      <c r="AE38" s="39">
        <v>3611</v>
      </c>
      <c r="AF38" s="39">
        <v>3611</v>
      </c>
      <c r="AG38" s="39">
        <v>3657</v>
      </c>
      <c r="AH38" s="40">
        <v>3657</v>
      </c>
      <c r="AI38" s="22"/>
      <c r="AJ38" s="42">
        <f t="shared" si="0"/>
        <v>476</v>
      </c>
      <c r="AK38" s="48">
        <f t="shared" si="1"/>
        <v>14.963847846589124</v>
      </c>
      <c r="AL38" s="46">
        <f t="shared" si="2"/>
        <v>388</v>
      </c>
      <c r="AM38" s="48">
        <f t="shared" si="3"/>
        <v>11.869073111043132</v>
      </c>
    </row>
    <row r="39" spans="1:35" ht="12" customHeight="1">
      <c r="A39" s="30"/>
      <c r="B39" s="19" t="s">
        <v>234</v>
      </c>
      <c r="C39" s="19">
        <f>COUNTIF(C8:C38,"y")</f>
        <v>31</v>
      </c>
      <c r="D39" s="19">
        <f>COUNTIF(D8:D38,"y")</f>
        <v>27</v>
      </c>
      <c r="E39" s="19">
        <f>COUNTIF(E8:E38,"y")</f>
        <v>15</v>
      </c>
      <c r="S39" s="19">
        <f>COUNT(S8:S38)</f>
        <v>26</v>
      </c>
      <c r="T39" s="19">
        <f aca="true" t="shared" si="4" ref="T39:AH39">COUNT(T8:T38)</f>
        <v>26</v>
      </c>
      <c r="U39" s="19">
        <f t="shared" si="4"/>
        <v>26</v>
      </c>
      <c r="V39" s="19">
        <f t="shared" si="4"/>
        <v>26</v>
      </c>
      <c r="W39" s="19">
        <f t="shared" si="4"/>
        <v>26</v>
      </c>
      <c r="X39" s="19">
        <f t="shared" si="4"/>
        <v>26</v>
      </c>
      <c r="Y39" s="19">
        <f t="shared" si="4"/>
        <v>26</v>
      </c>
      <c r="Z39" s="19">
        <f t="shared" si="4"/>
        <v>26</v>
      </c>
      <c r="AA39" s="19">
        <f t="shared" si="4"/>
        <v>26</v>
      </c>
      <c r="AB39" s="19">
        <f t="shared" si="4"/>
        <v>26</v>
      </c>
      <c r="AC39" s="19">
        <f t="shared" si="4"/>
        <v>26</v>
      </c>
      <c r="AD39" s="19">
        <f t="shared" si="4"/>
        <v>26</v>
      </c>
      <c r="AE39" s="19">
        <f t="shared" si="4"/>
        <v>26</v>
      </c>
      <c r="AF39" s="19">
        <f t="shared" si="4"/>
        <v>26</v>
      </c>
      <c r="AG39" s="19">
        <f t="shared" si="4"/>
        <v>26</v>
      </c>
      <c r="AH39" s="19">
        <f t="shared" si="4"/>
        <v>26</v>
      </c>
      <c r="AI39" s="22"/>
    </row>
    <row r="40" spans="1:35" ht="12" customHeight="1">
      <c r="A40" s="30"/>
      <c r="AH40" s="22"/>
      <c r="AI40" s="22"/>
    </row>
    <row r="41" spans="2:38" s="24" customFormat="1" ht="12" customHeight="1">
      <c r="B41" s="31" t="s">
        <v>235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4">
        <f aca="true" t="shared" si="5" ref="S41:X41">SUM(S8:S38)</f>
        <v>38357</v>
      </c>
      <c r="T41" s="34">
        <f t="shared" si="5"/>
        <v>39596</v>
      </c>
      <c r="U41" s="34">
        <f>SUM(U8:U38)</f>
        <v>40837</v>
      </c>
      <c r="V41" s="34">
        <f t="shared" si="5"/>
        <v>41837</v>
      </c>
      <c r="W41" s="34">
        <f t="shared" si="5"/>
        <v>42176</v>
      </c>
      <c r="X41" s="34">
        <f t="shared" si="5"/>
        <v>43519.5</v>
      </c>
      <c r="Y41" s="34">
        <f aca="true" t="shared" si="6" ref="Y41:AG41">SUM(Y8:Y38)</f>
        <v>44513.5</v>
      </c>
      <c r="Z41" s="34">
        <f t="shared" si="6"/>
        <v>45247.4</v>
      </c>
      <c r="AA41" s="34">
        <f t="shared" si="6"/>
        <v>46821</v>
      </c>
      <c r="AB41" s="34">
        <f t="shared" si="6"/>
        <v>47765</v>
      </c>
      <c r="AC41" s="34">
        <f t="shared" si="6"/>
        <v>48424.1</v>
      </c>
      <c r="AD41" s="34">
        <f t="shared" si="6"/>
        <v>49330</v>
      </c>
      <c r="AE41" s="34">
        <f t="shared" si="6"/>
        <v>50204.399999999994</v>
      </c>
      <c r="AF41" s="34">
        <f t="shared" si="6"/>
        <v>50617.561</v>
      </c>
      <c r="AG41" s="34">
        <f t="shared" si="6"/>
        <v>51406.5</v>
      </c>
      <c r="AH41" s="34">
        <f>SUM(AH8:AH38)</f>
        <v>52261.9</v>
      </c>
      <c r="AI41" s="59"/>
      <c r="AJ41" s="44">
        <f>AH41-S41</f>
        <v>13904.900000000001</v>
      </c>
      <c r="AK41" s="43">
        <f>AJ41/S41*100</f>
        <v>36.25127095445421</v>
      </c>
      <c r="AL41" s="43">
        <f>SUM(AL8:AL38)</f>
        <v>8742.4</v>
      </c>
    </row>
    <row r="42" spans="2:38" s="24" customFormat="1" ht="12" customHeight="1">
      <c r="B42" s="31" t="s">
        <v>156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>
        <v>100</v>
      </c>
      <c r="T42" s="31">
        <f>100*T41/S41</f>
        <v>103.23017962822952</v>
      </c>
      <c r="U42" s="31">
        <f>100*U41/S41</f>
        <v>106.46557342857888</v>
      </c>
      <c r="V42" s="31">
        <f>100*V41/S41</f>
        <v>109.07265948848972</v>
      </c>
      <c r="W42" s="31">
        <f>100*W41/S41</f>
        <v>109.95646166279948</v>
      </c>
      <c r="X42" s="31">
        <f>100*X41/S41</f>
        <v>113.4590817842897</v>
      </c>
      <c r="Y42" s="31">
        <f>100*Y41/S41</f>
        <v>116.05052532784107</v>
      </c>
      <c r="Z42" s="31">
        <f>100*Z41/S41</f>
        <v>117.96386578720964</v>
      </c>
      <c r="AA42" s="31">
        <f>100*AA41/S41</f>
        <v>122.06637641108533</v>
      </c>
      <c r="AB42" s="31">
        <f>100*AB41/S41</f>
        <v>124.52746565164117</v>
      </c>
      <c r="AC42" s="31">
        <f>100*AC41/S41</f>
        <v>126.2457960737284</v>
      </c>
      <c r="AD42" s="31">
        <f>100*AD41/S41</f>
        <v>128.60755533540163</v>
      </c>
      <c r="AE42" s="31">
        <f>100*AE41/S41</f>
        <v>130.88719138618762</v>
      </c>
      <c r="AF42" s="31">
        <f>100*AF41/S41</f>
        <v>131.9643376697865</v>
      </c>
      <c r="AG42" s="31">
        <f>100*AG41/S41</f>
        <v>134.02116953880648</v>
      </c>
      <c r="AH42" s="31">
        <f>100*AH41/S41</f>
        <v>136.2512709544542</v>
      </c>
      <c r="AI42" s="31"/>
      <c r="AK42" s="43"/>
      <c r="AL42" s="103">
        <f>100*AL41/X41</f>
        <v>20.088466089913716</v>
      </c>
    </row>
    <row r="43" spans="2:38" ht="12" customHeight="1">
      <c r="B43" s="33" t="s">
        <v>157</v>
      </c>
      <c r="C43" s="33"/>
      <c r="D43" s="33"/>
      <c r="E43" s="33"/>
      <c r="S43" s="34">
        <f>S8+S9+S13+S15+S16+S17+S18+S21+S22+S25+S27+S30+S34+S35+S38</f>
        <v>34552</v>
      </c>
      <c r="T43" s="34">
        <f aca="true" t="shared" si="7" ref="T43:AH43">T8+T9+T13+T15+T16+T17+T18+T21+T22+T25+T27+T30+T34+T35+T38</f>
        <v>35340</v>
      </c>
      <c r="U43" s="34">
        <f t="shared" si="7"/>
        <v>36153</v>
      </c>
      <c r="V43" s="34">
        <f t="shared" si="7"/>
        <v>36719</v>
      </c>
      <c r="W43" s="34">
        <f t="shared" si="7"/>
        <v>37323</v>
      </c>
      <c r="X43" s="34">
        <f t="shared" si="7"/>
        <v>38128</v>
      </c>
      <c r="Y43" s="34">
        <f t="shared" si="7"/>
        <v>38777</v>
      </c>
      <c r="Z43" s="34">
        <f t="shared" si="7"/>
        <v>39541</v>
      </c>
      <c r="AA43" s="34">
        <f t="shared" si="7"/>
        <v>40702</v>
      </c>
      <c r="AB43" s="34">
        <f t="shared" si="7"/>
        <v>41529</v>
      </c>
      <c r="AC43" s="34">
        <f t="shared" si="7"/>
        <v>42022</v>
      </c>
      <c r="AD43" s="34">
        <f t="shared" si="7"/>
        <v>42728</v>
      </c>
      <c r="AE43" s="34">
        <f t="shared" si="7"/>
        <v>43401</v>
      </c>
      <c r="AF43" s="34">
        <f t="shared" si="7"/>
        <v>43764</v>
      </c>
      <c r="AG43" s="34">
        <f t="shared" si="7"/>
        <v>44215</v>
      </c>
      <c r="AH43" s="34">
        <f t="shared" si="7"/>
        <v>44806</v>
      </c>
      <c r="AI43" s="34"/>
      <c r="AJ43" s="44">
        <f>AH43-S43</f>
        <v>10254</v>
      </c>
      <c r="AK43" s="58">
        <f>AJ43/S43*100</f>
        <v>29.67700856679787</v>
      </c>
      <c r="AL43" s="38"/>
    </row>
    <row r="44" spans="2:38" ht="12" customHeight="1">
      <c r="B44" s="33" t="s">
        <v>158</v>
      </c>
      <c r="C44" s="33"/>
      <c r="D44" s="33"/>
      <c r="E44" s="33"/>
      <c r="S44" s="34">
        <f>S10+S11+S12+S14+S19+S23+S24+S29+S31+S32+S33+S26</f>
        <v>2303</v>
      </c>
      <c r="T44" s="34">
        <f aca="true" t="shared" si="8" ref="T44:AH44">T10+T11+T12+T14+T19+T23+T24+T29+T31+T32+T33+T26</f>
        <v>2280</v>
      </c>
      <c r="U44" s="34">
        <f t="shared" si="8"/>
        <v>2326</v>
      </c>
      <c r="V44" s="34">
        <f t="shared" si="8"/>
        <v>2352</v>
      </c>
      <c r="W44" s="34">
        <f t="shared" si="8"/>
        <v>2408</v>
      </c>
      <c r="X44" s="34">
        <f t="shared" si="8"/>
        <v>2498.5</v>
      </c>
      <c r="Y44" s="34">
        <f t="shared" si="8"/>
        <v>2634.5</v>
      </c>
      <c r="Z44" s="34">
        <f t="shared" si="8"/>
        <v>2779.4</v>
      </c>
      <c r="AA44" s="34">
        <f t="shared" si="8"/>
        <v>3003</v>
      </c>
      <c r="AB44" s="34">
        <f t="shared" si="8"/>
        <v>3115</v>
      </c>
      <c r="AC44" s="34">
        <f>AC10+AC11+AC12+AC14+AC19+AC23+AC24+AC29+AC31+AC32+AC33+AC26</f>
        <v>3215.1</v>
      </c>
      <c r="AD44" s="34">
        <f t="shared" si="8"/>
        <v>3303</v>
      </c>
      <c r="AE44" s="34">
        <f t="shared" si="8"/>
        <v>3437.4</v>
      </c>
      <c r="AF44" s="34">
        <f t="shared" si="8"/>
        <v>3478.561</v>
      </c>
      <c r="AG44" s="34">
        <f t="shared" si="8"/>
        <v>3806.5</v>
      </c>
      <c r="AH44" s="34">
        <f t="shared" si="8"/>
        <v>3999.9</v>
      </c>
      <c r="AI44" s="59"/>
      <c r="AJ44" s="44">
        <f>AH44-S44</f>
        <v>1696.9</v>
      </c>
      <c r="AK44" s="58">
        <f>AJ44/S44*100</f>
        <v>73.68215371254885</v>
      </c>
      <c r="AL44" s="38"/>
    </row>
    <row r="45" spans="37:38" ht="12" customHeight="1">
      <c r="AK45" s="47"/>
      <c r="AL45" s="38"/>
    </row>
    <row r="46" spans="2:36" ht="12" customHeight="1">
      <c r="B46" s="19" t="s">
        <v>236</v>
      </c>
      <c r="C46" s="19" t="s">
        <v>237</v>
      </c>
      <c r="S46" s="92">
        <f>SUMIF($C$8:$C$38,"Y",S8:S38)/S41</f>
        <v>1</v>
      </c>
      <c r="T46" s="92">
        <f>SUMIF($C$8:$C$38,"Y",T8:T38)/T41</f>
        <v>1</v>
      </c>
      <c r="U46" s="92">
        <f>SUMIF($C$8:$C$38,"Y",U8:U38)/U41</f>
        <v>1</v>
      </c>
      <c r="V46" s="92">
        <f>SUMIF($C$8:$C$38,"Y",V8:V38)/V41</f>
        <v>1</v>
      </c>
      <c r="W46" s="92">
        <f>SUMIF($C$8:$C$38,"Y",W8:W38)/W41</f>
        <v>1</v>
      </c>
      <c r="X46" s="92">
        <f aca="true" t="shared" si="9" ref="X46:AH46">SUMIF($C$8:$C$38,"Y",X8:X38)/X41</f>
        <v>1</v>
      </c>
      <c r="Y46" s="92">
        <f t="shared" si="9"/>
        <v>1</v>
      </c>
      <c r="Z46" s="92">
        <f t="shared" si="9"/>
        <v>1</v>
      </c>
      <c r="AA46" s="92">
        <f t="shared" si="9"/>
        <v>1</v>
      </c>
      <c r="AB46" s="92">
        <f t="shared" si="9"/>
        <v>1</v>
      </c>
      <c r="AC46" s="92">
        <f t="shared" si="9"/>
        <v>1</v>
      </c>
      <c r="AD46" s="92">
        <f t="shared" si="9"/>
        <v>1</v>
      </c>
      <c r="AE46" s="92">
        <f t="shared" si="9"/>
        <v>1</v>
      </c>
      <c r="AF46" s="92">
        <f t="shared" si="9"/>
        <v>1</v>
      </c>
      <c r="AG46" s="92">
        <f t="shared" si="9"/>
        <v>1</v>
      </c>
      <c r="AH46" s="92">
        <f t="shared" si="9"/>
        <v>1</v>
      </c>
      <c r="AJ46" s="100"/>
    </row>
    <row r="47" spans="3:34" ht="12" customHeight="1">
      <c r="C47" s="19" t="s">
        <v>241</v>
      </c>
      <c r="S47" s="92"/>
      <c r="T47" s="92">
        <f>((SUMIF($C$8:$C$38,"Y",T8:T38)/SUMIF($C$8:$C$38,"Y",$S$8:$S$38))*100)/T42</f>
        <v>1.0000000000000002</v>
      </c>
      <c r="U47" s="92">
        <f>((SUMIF($C$8:$C$38,"Y",U8:U38)/SUMIF($C$8:$C$38,"Y",$S$8:$S$38))*100)/U42</f>
        <v>1</v>
      </c>
      <c r="V47" s="92">
        <f>((SUMIF($C$8:$C$38,"Y",V8:V38)/SUMIF($C$8:$C$38,"Y",$S$8:$S$38))*100)/V42</f>
        <v>1</v>
      </c>
      <c r="W47" s="92">
        <f>((SUMIF($C$8:$C$38,"Y",W8:W38)/SUMIF($C$8:$C$38,"Y",$S$8:$S$38))*100)/W42</f>
        <v>1</v>
      </c>
      <c r="X47" s="92">
        <f aca="true" t="shared" si="10" ref="X47:AH47">((SUMIF($C$8:$C$38,"Y",X8:X38)/SUMIF($C$8:$C$38,"Y",$S$8:$S$38))*100)/X42</f>
        <v>1</v>
      </c>
      <c r="Y47" s="92">
        <f t="shared" si="10"/>
        <v>1.0000000000000002</v>
      </c>
      <c r="Z47" s="92">
        <f t="shared" si="10"/>
        <v>0.9999999999999999</v>
      </c>
      <c r="AA47" s="92">
        <f t="shared" si="10"/>
        <v>1</v>
      </c>
      <c r="AB47" s="92">
        <f t="shared" si="10"/>
        <v>1</v>
      </c>
      <c r="AC47" s="92">
        <f t="shared" si="10"/>
        <v>0.9999999999999999</v>
      </c>
      <c r="AD47" s="92">
        <f t="shared" si="10"/>
        <v>1</v>
      </c>
      <c r="AE47" s="92">
        <f t="shared" si="10"/>
        <v>1.0000000000000002</v>
      </c>
      <c r="AF47" s="92">
        <f t="shared" si="10"/>
        <v>1</v>
      </c>
      <c r="AG47" s="92">
        <f t="shared" si="10"/>
        <v>1</v>
      </c>
      <c r="AH47" s="92">
        <f t="shared" si="10"/>
        <v>1</v>
      </c>
    </row>
    <row r="48" spans="3:34" ht="12" customHeight="1">
      <c r="C48" s="19" t="s">
        <v>153</v>
      </c>
      <c r="S48" s="92">
        <f>SUMIF($E$8:$E$38,"Y",S8:S38)/S43</f>
        <v>1</v>
      </c>
      <c r="T48" s="92">
        <f>SUMIF($E$8:$E$38,"Y",T8:T38)/T43</f>
        <v>1</v>
      </c>
      <c r="U48" s="92">
        <f>SUMIF($E$8:$E$38,"Y",U8:U38)/U43</f>
        <v>1</v>
      </c>
      <c r="V48" s="92">
        <f>SUMIF($E$8:$E$38,"Y",V8:V38)/V43</f>
        <v>1</v>
      </c>
      <c r="W48" s="92">
        <f>SUMIF($E$8:$E$38,"Y",W8:W38)/W43</f>
        <v>1</v>
      </c>
      <c r="X48" s="92">
        <f aca="true" t="shared" si="11" ref="X48:AH48">SUMIF($E$8:$E$38,"Y",X8:X38)/X43</f>
        <v>1</v>
      </c>
      <c r="Y48" s="92">
        <f t="shared" si="11"/>
        <v>1</v>
      </c>
      <c r="Z48" s="92">
        <f t="shared" si="11"/>
        <v>1</v>
      </c>
      <c r="AA48" s="92">
        <f t="shared" si="11"/>
        <v>1</v>
      </c>
      <c r="AB48" s="92">
        <f t="shared" si="11"/>
        <v>1</v>
      </c>
      <c r="AC48" s="92">
        <f t="shared" si="11"/>
        <v>1</v>
      </c>
      <c r="AD48" s="92">
        <f t="shared" si="11"/>
        <v>1</v>
      </c>
      <c r="AE48" s="92">
        <f t="shared" si="11"/>
        <v>1</v>
      </c>
      <c r="AF48" s="92">
        <f t="shared" si="11"/>
        <v>1</v>
      </c>
      <c r="AG48" s="92">
        <f t="shared" si="11"/>
        <v>1</v>
      </c>
      <c r="AH48" s="92">
        <f t="shared" si="11"/>
        <v>1</v>
      </c>
    </row>
    <row r="49" spans="3:37" s="23" customFormat="1" ht="12" customHeight="1">
      <c r="C49" s="80" t="s">
        <v>238</v>
      </c>
      <c r="S49" s="93">
        <f>(SUMIF($D$8:$D$38,"Y",S8:S38)-SUMIF($E$8:$E$38,"Y",S8:S38))/S44</f>
        <v>1</v>
      </c>
      <c r="T49" s="93">
        <f>(SUMIF($D$8:$D$38,"Y",T8:T38)-SUMIF($E$8:$E$38,"Y",T8:T38))/T44</f>
        <v>1</v>
      </c>
      <c r="U49" s="93">
        <f>(SUMIF($D$8:$D$38,"Y",U8:U38)-SUMIF($E$8:$E$38,"Y",U8:U38))/U44</f>
        <v>1</v>
      </c>
      <c r="V49" s="93">
        <f>(SUMIF($D$8:$D$38,"Y",V8:V38)-SUMIF($E$8:$E$38,"Y",V8:V38))/V44</f>
        <v>1</v>
      </c>
      <c r="W49" s="93">
        <f>(SUMIF($D$8:$D$38,"Y",W8:W38)-SUMIF($E$8:$E$38,"Y",W8:W38))/W44</f>
        <v>1</v>
      </c>
      <c r="X49" s="93">
        <f aca="true" t="shared" si="12" ref="X49:AH49">(SUMIF($D$8:$D$38,"Y",X8:X38)-SUMIF($E$8:$E$38,"Y",X8:X38))/X44</f>
        <v>1</v>
      </c>
      <c r="Y49" s="93">
        <f t="shared" si="12"/>
        <v>1</v>
      </c>
      <c r="Z49" s="93">
        <f t="shared" si="12"/>
        <v>1.0000000000000004</v>
      </c>
      <c r="AA49" s="93">
        <f t="shared" si="12"/>
        <v>1</v>
      </c>
      <c r="AB49" s="93">
        <f t="shared" si="12"/>
        <v>1</v>
      </c>
      <c r="AC49" s="93">
        <f t="shared" si="12"/>
        <v>0.9999999999999996</v>
      </c>
      <c r="AD49" s="93">
        <f t="shared" si="12"/>
        <v>1</v>
      </c>
      <c r="AE49" s="93">
        <f t="shared" si="12"/>
        <v>0.9999999999999983</v>
      </c>
      <c r="AF49" s="93">
        <f t="shared" si="12"/>
        <v>1.0000000000000004</v>
      </c>
      <c r="AG49" s="93">
        <f t="shared" si="12"/>
        <v>1</v>
      </c>
      <c r="AH49" s="93">
        <f t="shared" si="12"/>
        <v>1.0000000000000004</v>
      </c>
      <c r="AK49" s="26"/>
    </row>
    <row r="51" spans="1:37" s="22" customFormat="1" ht="12" customHeight="1">
      <c r="A51" s="22" t="s">
        <v>248</v>
      </c>
      <c r="AK51" s="27"/>
    </row>
    <row r="52" spans="1:34" ht="12" customHeight="1">
      <c r="A52" s="30" t="s">
        <v>57</v>
      </c>
      <c r="B52" s="19" t="s">
        <v>97</v>
      </c>
      <c r="C52" s="91" t="s">
        <v>232</v>
      </c>
      <c r="D52" s="91" t="s">
        <v>232</v>
      </c>
      <c r="E52" s="91" t="s">
        <v>232</v>
      </c>
      <c r="F52" s="39">
        <v>7</v>
      </c>
      <c r="G52" s="39">
        <v>23</v>
      </c>
      <c r="H52" s="39">
        <v>44</v>
      </c>
      <c r="I52" s="39">
        <v>44</v>
      </c>
      <c r="J52" s="39">
        <v>44</v>
      </c>
      <c r="K52" s="39">
        <v>44</v>
      </c>
      <c r="L52" s="39">
        <v>58</v>
      </c>
      <c r="M52" s="39">
        <v>58</v>
      </c>
      <c r="N52" s="39">
        <v>58</v>
      </c>
      <c r="O52" s="39">
        <v>58</v>
      </c>
      <c r="P52" s="39">
        <v>58</v>
      </c>
      <c r="Q52" s="39">
        <v>75</v>
      </c>
      <c r="R52" s="39">
        <v>78</v>
      </c>
      <c r="S52" s="39">
        <v>78</v>
      </c>
      <c r="T52" s="39">
        <v>78</v>
      </c>
      <c r="U52" s="39">
        <v>95</v>
      </c>
      <c r="V52" s="39">
        <v>100</v>
      </c>
      <c r="W52" s="39">
        <v>121</v>
      </c>
      <c r="X52" s="40">
        <v>115</v>
      </c>
      <c r="Y52" s="40">
        <v>115</v>
      </c>
      <c r="Z52" s="40">
        <v>115</v>
      </c>
      <c r="AA52" s="39">
        <v>115</v>
      </c>
      <c r="AB52" s="39">
        <v>115</v>
      </c>
      <c r="AC52" s="39">
        <v>114</v>
      </c>
      <c r="AD52" s="39">
        <v>115</v>
      </c>
      <c r="AE52" s="40">
        <v>115</v>
      </c>
      <c r="AF52" s="40">
        <v>115</v>
      </c>
      <c r="AG52" s="40">
        <v>115</v>
      </c>
      <c r="AH52" s="40">
        <v>115</v>
      </c>
    </row>
    <row r="53" spans="1:34" ht="12" customHeight="1">
      <c r="A53" s="30" t="s">
        <v>39</v>
      </c>
      <c r="B53" s="19" t="s">
        <v>40</v>
      </c>
      <c r="C53" s="91" t="s">
        <v>232</v>
      </c>
      <c r="D53" s="91" t="s">
        <v>232</v>
      </c>
      <c r="E53" s="91" t="s">
        <v>232</v>
      </c>
      <c r="F53" s="39">
        <v>1585</v>
      </c>
      <c r="G53" s="39">
        <v>1746</v>
      </c>
      <c r="H53" s="39">
        <v>1769</v>
      </c>
      <c r="I53" s="39">
        <v>1923</v>
      </c>
      <c r="J53" s="39">
        <v>1959</v>
      </c>
      <c r="K53" s="39">
        <v>1963</v>
      </c>
      <c r="L53" s="39">
        <v>2050</v>
      </c>
      <c r="M53" s="39">
        <v>2064</v>
      </c>
      <c r="N53" s="39">
        <v>2117</v>
      </c>
      <c r="O53" s="39">
        <v>2154</v>
      </c>
      <c r="P53" s="39">
        <v>2276</v>
      </c>
      <c r="Q53" s="39">
        <v>2859</v>
      </c>
      <c r="R53" s="39">
        <v>3785</v>
      </c>
      <c r="S53" s="39">
        <v>4693</v>
      </c>
      <c r="T53" s="39">
        <v>5235</v>
      </c>
      <c r="U53" s="39">
        <v>6486</v>
      </c>
      <c r="V53" s="39">
        <v>6577</v>
      </c>
      <c r="W53" s="39">
        <v>6497</v>
      </c>
      <c r="X53" s="39">
        <v>6962</v>
      </c>
      <c r="Y53" s="39">
        <v>7295</v>
      </c>
      <c r="Z53" s="39">
        <v>7750</v>
      </c>
      <c r="AA53" s="39">
        <v>8269</v>
      </c>
      <c r="AB53" s="39">
        <v>8893</v>
      </c>
      <c r="AC53" s="39">
        <v>9049</v>
      </c>
      <c r="AD53" s="39">
        <v>9571</v>
      </c>
      <c r="AE53" s="39">
        <v>9739</v>
      </c>
      <c r="AF53" s="39">
        <v>10286</v>
      </c>
      <c r="AG53" s="39">
        <v>10286</v>
      </c>
      <c r="AH53" s="39">
        <v>11432</v>
      </c>
    </row>
  </sheetData>
  <sheetProtection/>
  <conditionalFormatting sqref="S46:AH49">
    <cfRule type="cellIs" priority="1" dxfId="4" operator="not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A52"/>
  <sheetViews>
    <sheetView zoomScalePageLayoutView="0" workbookViewId="0" topLeftCell="A1">
      <selection activeCell="U6" sqref="U6"/>
    </sheetView>
  </sheetViews>
  <sheetFormatPr defaultColWidth="9.00390625" defaultRowHeight="12" customHeight="1"/>
  <cols>
    <col min="1" max="1" width="4.625" style="19" customWidth="1"/>
    <col min="2" max="2" width="10.125" style="19" customWidth="1"/>
    <col min="3" max="3" width="7.375" style="19" customWidth="1"/>
    <col min="4" max="5" width="8.125" style="19" customWidth="1"/>
    <col min="6" max="21" width="6.75390625" style="19" customWidth="1"/>
    <col min="22" max="22" width="6.25390625" style="19" customWidth="1"/>
    <col min="23" max="23" width="15.875" style="19" customWidth="1"/>
    <col min="24" max="24" width="5.00390625" style="19" customWidth="1"/>
    <col min="25" max="25" width="7.375" style="19" customWidth="1"/>
    <col min="26" max="26" width="15.375" style="19" customWidth="1"/>
    <col min="27" max="16384" width="9.00390625" style="19" customWidth="1"/>
  </cols>
  <sheetData>
    <row r="1" ht="18" customHeight="1">
      <c r="A1" s="28" t="s">
        <v>172</v>
      </c>
    </row>
    <row r="2" spans="2:5" ht="12" customHeight="1">
      <c r="B2" s="21" t="s">
        <v>95</v>
      </c>
      <c r="C2" s="21"/>
      <c r="D2" s="21"/>
      <c r="E2" s="21"/>
    </row>
    <row r="3" spans="2:7" ht="12" customHeight="1">
      <c r="B3" s="22" t="s">
        <v>164</v>
      </c>
      <c r="C3" s="22"/>
      <c r="D3" s="22"/>
      <c r="E3" s="22"/>
      <c r="G3" s="19" t="s">
        <v>169</v>
      </c>
    </row>
    <row r="4" spans="2:7" ht="12" customHeight="1">
      <c r="B4" s="19" t="s">
        <v>124</v>
      </c>
      <c r="G4" s="19" t="s">
        <v>126</v>
      </c>
    </row>
    <row r="6" spans="23:26" ht="12" customHeight="1">
      <c r="W6" s="37" t="s">
        <v>159</v>
      </c>
      <c r="Z6" s="105" t="s">
        <v>161</v>
      </c>
    </row>
    <row r="7" spans="3:27" s="21" customFormat="1" ht="12" customHeight="1">
      <c r="C7" s="21" t="s">
        <v>230</v>
      </c>
      <c r="D7" s="21" t="s">
        <v>231</v>
      </c>
      <c r="E7" s="21" t="s">
        <v>153</v>
      </c>
      <c r="F7" s="29">
        <v>1990</v>
      </c>
      <c r="G7" s="29">
        <v>1991</v>
      </c>
      <c r="H7" s="29">
        <v>1992</v>
      </c>
      <c r="I7" s="29">
        <v>1993</v>
      </c>
      <c r="J7" s="29">
        <v>1994</v>
      </c>
      <c r="K7" s="29">
        <v>1995</v>
      </c>
      <c r="L7" s="29">
        <v>1996</v>
      </c>
      <c r="M7" s="29">
        <v>1997</v>
      </c>
      <c r="N7" s="29">
        <v>1998</v>
      </c>
      <c r="O7" s="29">
        <v>1999</v>
      </c>
      <c r="P7" s="29">
        <v>2000</v>
      </c>
      <c r="Q7" s="29">
        <v>2001</v>
      </c>
      <c r="R7" s="29">
        <v>2002</v>
      </c>
      <c r="S7" s="29">
        <v>2003</v>
      </c>
      <c r="T7" s="29">
        <v>2004</v>
      </c>
      <c r="U7" s="29">
        <v>2005</v>
      </c>
      <c r="V7" s="19"/>
      <c r="W7" s="37" t="s">
        <v>160</v>
      </c>
      <c r="X7" s="45" t="s">
        <v>111</v>
      </c>
      <c r="Z7" s="105" t="s">
        <v>162</v>
      </c>
      <c r="AA7" s="45" t="s">
        <v>111</v>
      </c>
    </row>
    <row r="8" spans="1:27" ht="12" customHeight="1">
      <c r="A8" s="30" t="s">
        <v>20</v>
      </c>
      <c r="B8" s="19" t="s">
        <v>21</v>
      </c>
      <c r="C8" s="91" t="s">
        <v>232</v>
      </c>
      <c r="D8" s="91" t="s">
        <v>232</v>
      </c>
      <c r="E8" s="91" t="s">
        <v>232</v>
      </c>
      <c r="F8" s="39">
        <v>5624</v>
      </c>
      <c r="G8" s="39">
        <v>5623</v>
      </c>
      <c r="H8" s="39">
        <v>5605</v>
      </c>
      <c r="I8" s="39">
        <v>5600</v>
      </c>
      <c r="J8" s="39">
        <v>5636</v>
      </c>
      <c r="K8" s="39">
        <v>5672</v>
      </c>
      <c r="L8" s="39">
        <v>5672</v>
      </c>
      <c r="M8" s="39">
        <v>5672</v>
      </c>
      <c r="N8" s="39">
        <v>5643</v>
      </c>
      <c r="O8" s="39">
        <v>5618</v>
      </c>
      <c r="P8" s="39">
        <v>5563</v>
      </c>
      <c r="Q8" s="39">
        <v>5980</v>
      </c>
      <c r="R8" s="39">
        <v>5642</v>
      </c>
      <c r="S8" s="40">
        <v>5642</v>
      </c>
      <c r="T8" s="40">
        <v>5642</v>
      </c>
      <c r="U8" s="40">
        <v>5642</v>
      </c>
      <c r="V8" s="40"/>
      <c r="W8" s="46">
        <f>U8-F8</f>
        <v>18</v>
      </c>
      <c r="X8" s="48">
        <f>W8/F8*100</f>
        <v>0.3200568990042674</v>
      </c>
      <c r="Z8" s="100">
        <f>U8-K8</f>
        <v>-30</v>
      </c>
      <c r="AA8" s="20">
        <f>Z8/K8*100</f>
        <v>-0.5289139633286318</v>
      </c>
    </row>
    <row r="9" spans="1:27" ht="12" customHeight="1">
      <c r="A9" s="30" t="s">
        <v>23</v>
      </c>
      <c r="B9" s="19" t="s">
        <v>24</v>
      </c>
      <c r="C9" s="91" t="s">
        <v>232</v>
      </c>
      <c r="D9" s="91" t="s">
        <v>232</v>
      </c>
      <c r="E9" s="91" t="s">
        <v>232</v>
      </c>
      <c r="F9" s="40">
        <v>6042</v>
      </c>
      <c r="G9" s="40">
        <v>6042</v>
      </c>
      <c r="H9" s="40">
        <v>6042</v>
      </c>
      <c r="I9" s="39">
        <v>6042</v>
      </c>
      <c r="J9" s="39">
        <v>6029</v>
      </c>
      <c r="K9" s="39">
        <v>5992</v>
      </c>
      <c r="L9" s="39">
        <v>6029</v>
      </c>
      <c r="M9" s="39">
        <v>6090</v>
      </c>
      <c r="N9" s="39">
        <v>6125</v>
      </c>
      <c r="O9" s="39">
        <v>6145</v>
      </c>
      <c r="P9" s="39">
        <v>6095</v>
      </c>
      <c r="Q9" s="39">
        <v>6130</v>
      </c>
      <c r="R9" s="39">
        <v>6228</v>
      </c>
      <c r="S9" s="39">
        <v>6210</v>
      </c>
      <c r="T9" s="39">
        <v>6291</v>
      </c>
      <c r="U9" s="39">
        <v>6215</v>
      </c>
      <c r="V9" s="39"/>
      <c r="W9" s="46">
        <f>U9-F9</f>
        <v>173</v>
      </c>
      <c r="X9" s="48">
        <f>W9/F9*100</f>
        <v>2.86329030122476</v>
      </c>
      <c r="Z9" s="100">
        <f aca="true" t="shared" si="0" ref="Z9:Z38">U9-K9</f>
        <v>223</v>
      </c>
      <c r="AA9" s="20">
        <f>Z9/K9*100</f>
        <v>3.7216288384512684</v>
      </c>
    </row>
    <row r="10" spans="1:27" ht="12" customHeight="1">
      <c r="A10" s="30" t="s">
        <v>25</v>
      </c>
      <c r="B10" s="19" t="s">
        <v>26</v>
      </c>
      <c r="C10" s="91" t="s">
        <v>232</v>
      </c>
      <c r="D10" s="91" t="s">
        <v>232</v>
      </c>
      <c r="E10" s="91" t="s">
        <v>233</v>
      </c>
      <c r="F10" s="39">
        <v>6604</v>
      </c>
      <c r="G10" s="39">
        <v>6607</v>
      </c>
      <c r="H10" s="39">
        <v>6560</v>
      </c>
      <c r="I10" s="39">
        <v>6556</v>
      </c>
      <c r="J10" s="39">
        <v>6508</v>
      </c>
      <c r="K10" s="39">
        <v>6507</v>
      </c>
      <c r="L10" s="39">
        <v>6490</v>
      </c>
      <c r="M10" s="39">
        <v>7453</v>
      </c>
      <c r="N10" s="39">
        <v>6470</v>
      </c>
      <c r="O10" s="39">
        <v>6467</v>
      </c>
      <c r="P10" s="39">
        <v>6518</v>
      </c>
      <c r="Q10" s="39">
        <v>6402.4</v>
      </c>
      <c r="R10" s="39">
        <v>6383.5</v>
      </c>
      <c r="S10" s="39">
        <v>6358.1</v>
      </c>
      <c r="T10" s="39">
        <v>6238</v>
      </c>
      <c r="U10" s="39">
        <v>6025</v>
      </c>
      <c r="V10" s="39"/>
      <c r="W10" s="46">
        <f>U10-F10</f>
        <v>-579</v>
      </c>
      <c r="X10" s="48">
        <f>W10/F10*100</f>
        <v>-8.767413688673532</v>
      </c>
      <c r="Z10" s="100">
        <f t="shared" si="0"/>
        <v>-482</v>
      </c>
      <c r="AA10" s="20">
        <f>Z10/K10*100</f>
        <v>-7.4074074074074066</v>
      </c>
    </row>
    <row r="11" spans="1:27" ht="12" customHeight="1">
      <c r="A11" s="30" t="s">
        <v>27</v>
      </c>
      <c r="B11" s="19" t="s">
        <v>28</v>
      </c>
      <c r="C11" s="91" t="s">
        <v>232</v>
      </c>
      <c r="D11" s="91" t="s">
        <v>232</v>
      </c>
      <c r="E11" s="91" t="s">
        <v>233</v>
      </c>
      <c r="F11" s="40"/>
      <c r="G11" s="40"/>
      <c r="H11" s="40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6"/>
      <c r="X11" s="48"/>
      <c r="Z11" s="100"/>
      <c r="AA11" s="20"/>
    </row>
    <row r="12" spans="1:27" ht="12" customHeight="1">
      <c r="A12" s="30" t="s">
        <v>29</v>
      </c>
      <c r="B12" s="19" t="s">
        <v>30</v>
      </c>
      <c r="C12" s="91" t="s">
        <v>232</v>
      </c>
      <c r="D12" s="91" t="s">
        <v>232</v>
      </c>
      <c r="E12" s="91" t="s">
        <v>233</v>
      </c>
      <c r="F12" s="40">
        <v>17249</v>
      </c>
      <c r="G12" s="40">
        <v>17249</v>
      </c>
      <c r="H12" s="40">
        <v>17249</v>
      </c>
      <c r="I12" s="39">
        <v>17249</v>
      </c>
      <c r="J12" s="39">
        <v>17575</v>
      </c>
      <c r="K12" s="39">
        <v>16884</v>
      </c>
      <c r="L12" s="39">
        <v>16877</v>
      </c>
      <c r="M12" s="39">
        <v>16714</v>
      </c>
      <c r="N12" s="39">
        <v>16714</v>
      </c>
      <c r="O12" s="39">
        <v>17025</v>
      </c>
      <c r="P12" s="39">
        <v>16494</v>
      </c>
      <c r="Q12" s="39">
        <v>16447</v>
      </c>
      <c r="R12" s="39">
        <v>16506</v>
      </c>
      <c r="S12" s="39">
        <v>16290</v>
      </c>
      <c r="T12" s="39">
        <v>15925</v>
      </c>
      <c r="U12" s="39">
        <v>16156</v>
      </c>
      <c r="V12" s="39"/>
      <c r="W12" s="46">
        <f aca="true" t="shared" si="1" ref="W12:W19">U12-F12</f>
        <v>-1093</v>
      </c>
      <c r="X12" s="48">
        <f aca="true" t="shared" si="2" ref="X12:X19">W12/F12*100</f>
        <v>-6.33659922314337</v>
      </c>
      <c r="Z12" s="100">
        <f t="shared" si="0"/>
        <v>-728</v>
      </c>
      <c r="AA12" s="20">
        <f aca="true" t="shared" si="3" ref="AA12:AA38">Z12/K12*100</f>
        <v>-4.311774461028192</v>
      </c>
    </row>
    <row r="13" spans="1:27" ht="12" customHeight="1">
      <c r="A13" s="30" t="s">
        <v>33</v>
      </c>
      <c r="B13" s="19" t="s">
        <v>34</v>
      </c>
      <c r="C13" s="91" t="s">
        <v>232</v>
      </c>
      <c r="D13" s="91" t="s">
        <v>232</v>
      </c>
      <c r="E13" s="91" t="s">
        <v>232</v>
      </c>
      <c r="F13" s="40">
        <v>5068</v>
      </c>
      <c r="G13" s="40">
        <v>5068</v>
      </c>
      <c r="H13" s="39">
        <v>5068</v>
      </c>
      <c r="I13" s="39">
        <v>5078</v>
      </c>
      <c r="J13" s="39">
        <v>5078</v>
      </c>
      <c r="K13" s="40">
        <v>3148</v>
      </c>
      <c r="L13" s="40">
        <v>3148</v>
      </c>
      <c r="M13" s="39">
        <v>3148</v>
      </c>
      <c r="N13" s="39">
        <v>3181</v>
      </c>
      <c r="O13" s="40">
        <v>3181</v>
      </c>
      <c r="P13" s="40">
        <v>3181</v>
      </c>
      <c r="Q13" s="40">
        <v>3181</v>
      </c>
      <c r="R13" s="40">
        <v>3181</v>
      </c>
      <c r="S13" s="40">
        <v>3181</v>
      </c>
      <c r="T13" s="40">
        <v>3181</v>
      </c>
      <c r="U13" s="40">
        <v>3181</v>
      </c>
      <c r="V13" s="40"/>
      <c r="W13" s="46">
        <f t="shared" si="1"/>
        <v>-1887</v>
      </c>
      <c r="X13" s="48">
        <f t="shared" si="2"/>
        <v>-37.2336227308603</v>
      </c>
      <c r="Z13" s="100">
        <f t="shared" si="0"/>
        <v>33</v>
      </c>
      <c r="AA13" s="20">
        <f t="shared" si="3"/>
        <v>1.048284625158831</v>
      </c>
    </row>
    <row r="14" spans="1:27" ht="12" customHeight="1">
      <c r="A14" s="30" t="s">
        <v>35</v>
      </c>
      <c r="B14" s="19" t="s">
        <v>36</v>
      </c>
      <c r="C14" s="91" t="s">
        <v>232</v>
      </c>
      <c r="D14" s="91" t="s">
        <v>232</v>
      </c>
      <c r="E14" s="91" t="s">
        <v>233</v>
      </c>
      <c r="F14" s="40">
        <v>1921.8</v>
      </c>
      <c r="G14" s="40">
        <v>1921.8</v>
      </c>
      <c r="H14" s="39">
        <v>1921.8</v>
      </c>
      <c r="I14" s="39">
        <v>1921.8</v>
      </c>
      <c r="J14" s="39">
        <v>1914.2</v>
      </c>
      <c r="K14" s="39">
        <v>1866.2</v>
      </c>
      <c r="L14" s="39">
        <v>1849.1</v>
      </c>
      <c r="M14" s="39">
        <v>1811</v>
      </c>
      <c r="N14" s="39">
        <v>1696</v>
      </c>
      <c r="O14" s="39">
        <v>1696</v>
      </c>
      <c r="P14" s="39">
        <v>1504</v>
      </c>
      <c r="Q14" s="39">
        <v>1523</v>
      </c>
      <c r="R14" s="39">
        <v>1562.8</v>
      </c>
      <c r="S14" s="39">
        <v>1621.5</v>
      </c>
      <c r="T14" s="39">
        <v>1587</v>
      </c>
      <c r="U14" s="39">
        <v>1798</v>
      </c>
      <c r="V14" s="39"/>
      <c r="W14" s="46">
        <f t="shared" si="1"/>
        <v>-123.79999999999995</v>
      </c>
      <c r="X14" s="48">
        <f t="shared" si="2"/>
        <v>-6.441877406597979</v>
      </c>
      <c r="Z14" s="100">
        <f t="shared" si="0"/>
        <v>-68.20000000000005</v>
      </c>
      <c r="AA14" s="20">
        <f t="shared" si="3"/>
        <v>-3.6544850498338897</v>
      </c>
    </row>
    <row r="15" spans="1:27" ht="12" customHeight="1">
      <c r="A15" s="30" t="s">
        <v>41</v>
      </c>
      <c r="B15" s="19" t="s">
        <v>42</v>
      </c>
      <c r="C15" s="91" t="s">
        <v>232</v>
      </c>
      <c r="D15" s="91" t="s">
        <v>232</v>
      </c>
      <c r="E15" s="91" t="s">
        <v>232</v>
      </c>
      <c r="F15" s="39">
        <v>8844</v>
      </c>
      <c r="G15" s="39">
        <v>8676</v>
      </c>
      <c r="H15" s="39">
        <v>8836</v>
      </c>
      <c r="I15" s="39">
        <v>8991</v>
      </c>
      <c r="J15" s="39">
        <v>8915</v>
      </c>
      <c r="K15" s="39">
        <v>8977</v>
      </c>
      <c r="L15" s="39">
        <v>8940</v>
      </c>
      <c r="M15" s="39">
        <v>8730</v>
      </c>
      <c r="N15" s="39">
        <v>8725</v>
      </c>
      <c r="O15" s="39">
        <v>8680</v>
      </c>
      <c r="P15" s="39">
        <v>8705</v>
      </c>
      <c r="Q15" s="39">
        <v>8734</v>
      </c>
      <c r="R15" s="39">
        <v>8736</v>
      </c>
      <c r="S15" s="39">
        <v>8707</v>
      </c>
      <c r="T15" s="39">
        <v>8596</v>
      </c>
      <c r="U15" s="39">
        <v>8587</v>
      </c>
      <c r="V15" s="39"/>
      <c r="W15" s="46">
        <f t="shared" si="1"/>
        <v>-257</v>
      </c>
      <c r="X15" s="48">
        <f t="shared" si="2"/>
        <v>-2.905924920850294</v>
      </c>
      <c r="Z15" s="100">
        <f t="shared" si="0"/>
        <v>-390</v>
      </c>
      <c r="AA15" s="20">
        <f t="shared" si="3"/>
        <v>-4.344435780327504</v>
      </c>
    </row>
    <row r="16" spans="1:27" ht="12" customHeight="1">
      <c r="A16" s="30" t="s">
        <v>43</v>
      </c>
      <c r="B16" s="19" t="s">
        <v>44</v>
      </c>
      <c r="C16" s="91" t="s">
        <v>232</v>
      </c>
      <c r="D16" s="91" t="s">
        <v>232</v>
      </c>
      <c r="E16" s="91" t="s">
        <v>232</v>
      </c>
      <c r="F16" s="40">
        <v>52325</v>
      </c>
      <c r="G16" s="40">
        <v>52325</v>
      </c>
      <c r="H16" s="40">
        <v>52325</v>
      </c>
      <c r="I16" s="39">
        <v>52325</v>
      </c>
      <c r="J16" s="39">
        <v>52204</v>
      </c>
      <c r="K16" s="39">
        <v>51834</v>
      </c>
      <c r="L16" s="39">
        <v>51663</v>
      </c>
      <c r="M16" s="39">
        <v>49241</v>
      </c>
      <c r="N16" s="39">
        <v>49168</v>
      </c>
      <c r="O16" s="39">
        <v>49138</v>
      </c>
      <c r="P16" s="39">
        <v>48949</v>
      </c>
      <c r="Q16" s="39">
        <v>49197</v>
      </c>
      <c r="R16" s="39">
        <v>49119</v>
      </c>
      <c r="S16" s="39">
        <v>49081</v>
      </c>
      <c r="T16" s="39">
        <v>49063</v>
      </c>
      <c r="U16" s="39">
        <v>49111</v>
      </c>
      <c r="V16" s="39"/>
      <c r="W16" s="46">
        <f t="shared" si="1"/>
        <v>-3214</v>
      </c>
      <c r="X16" s="48">
        <f t="shared" si="2"/>
        <v>-6.142379359770664</v>
      </c>
      <c r="Z16" s="100">
        <f t="shared" si="0"/>
        <v>-2723</v>
      </c>
      <c r="AA16" s="20">
        <f t="shared" si="3"/>
        <v>-5.253308639117182</v>
      </c>
    </row>
    <row r="17" spans="1:27" ht="12" customHeight="1">
      <c r="A17" s="30" t="s">
        <v>31</v>
      </c>
      <c r="B17" s="19" t="s">
        <v>168</v>
      </c>
      <c r="C17" s="91" t="s">
        <v>232</v>
      </c>
      <c r="D17" s="91" t="s">
        <v>232</v>
      </c>
      <c r="E17" s="91" t="s">
        <v>232</v>
      </c>
      <c r="F17" s="40">
        <v>86742</v>
      </c>
      <c r="G17" s="39">
        <v>86742</v>
      </c>
      <c r="H17" s="39">
        <v>85998</v>
      </c>
      <c r="I17" s="39">
        <v>83460</v>
      </c>
      <c r="J17" s="40">
        <v>79449</v>
      </c>
      <c r="K17" s="39">
        <v>75438</v>
      </c>
      <c r="L17" s="39">
        <v>82065</v>
      </c>
      <c r="M17" s="39">
        <v>78934</v>
      </c>
      <c r="N17" s="39">
        <v>78098</v>
      </c>
      <c r="O17" s="39">
        <v>75109</v>
      </c>
      <c r="P17" s="39">
        <v>74977.8</v>
      </c>
      <c r="Q17" s="39">
        <v>72668.4</v>
      </c>
      <c r="R17" s="39">
        <v>70875</v>
      </c>
      <c r="S17" s="40">
        <v>70557</v>
      </c>
      <c r="T17" s="40">
        <v>70557</v>
      </c>
      <c r="U17" s="39">
        <v>70557</v>
      </c>
      <c r="V17" s="39"/>
      <c r="W17" s="46">
        <f t="shared" si="1"/>
        <v>-16185</v>
      </c>
      <c r="X17" s="48">
        <f t="shared" si="2"/>
        <v>-18.658781213253096</v>
      </c>
      <c r="Z17" s="100">
        <f t="shared" si="0"/>
        <v>-4881</v>
      </c>
      <c r="AA17" s="20">
        <f t="shared" si="3"/>
        <v>-6.470213950528911</v>
      </c>
    </row>
    <row r="18" spans="1:27" ht="12" customHeight="1">
      <c r="A18" s="30" t="s">
        <v>37</v>
      </c>
      <c r="B18" s="19" t="s">
        <v>38</v>
      </c>
      <c r="C18" s="91" t="s">
        <v>232</v>
      </c>
      <c r="D18" s="91" t="s">
        <v>232</v>
      </c>
      <c r="E18" s="91" t="s">
        <v>232</v>
      </c>
      <c r="F18" s="40">
        <v>2474</v>
      </c>
      <c r="G18" s="40">
        <v>2474</v>
      </c>
      <c r="H18" s="40">
        <v>2474</v>
      </c>
      <c r="I18" s="40">
        <v>2474</v>
      </c>
      <c r="J18" s="39">
        <v>2474</v>
      </c>
      <c r="K18" s="39">
        <v>2474</v>
      </c>
      <c r="L18" s="39">
        <v>2474</v>
      </c>
      <c r="M18" s="39">
        <v>2503</v>
      </c>
      <c r="N18" s="39">
        <v>2299</v>
      </c>
      <c r="O18" s="39">
        <v>2299</v>
      </c>
      <c r="P18" s="39">
        <v>2739</v>
      </c>
      <c r="Q18" s="39">
        <v>2733</v>
      </c>
      <c r="R18" s="39">
        <v>2739</v>
      </c>
      <c r="S18" s="39">
        <v>2822</v>
      </c>
      <c r="T18" s="39">
        <v>2880</v>
      </c>
      <c r="U18" s="39">
        <v>3093</v>
      </c>
      <c r="V18" s="39"/>
      <c r="W18" s="46">
        <f t="shared" si="1"/>
        <v>619</v>
      </c>
      <c r="X18" s="48">
        <f t="shared" si="2"/>
        <v>25.02021018593371</v>
      </c>
      <c r="Z18" s="100">
        <f t="shared" si="0"/>
        <v>619</v>
      </c>
      <c r="AA18" s="20">
        <f t="shared" si="3"/>
        <v>25.02021018593371</v>
      </c>
    </row>
    <row r="19" spans="1:27" ht="12" customHeight="1">
      <c r="A19" s="30" t="s">
        <v>47</v>
      </c>
      <c r="B19" s="19" t="s">
        <v>48</v>
      </c>
      <c r="C19" s="91" t="s">
        <v>232</v>
      </c>
      <c r="D19" s="91" t="s">
        <v>232</v>
      </c>
      <c r="E19" s="91" t="s">
        <v>233</v>
      </c>
      <c r="F19" s="39">
        <v>13230</v>
      </c>
      <c r="G19" s="39">
        <v>13209</v>
      </c>
      <c r="H19" s="39">
        <v>13158</v>
      </c>
      <c r="I19" s="39">
        <v>13236</v>
      </c>
      <c r="J19" s="39">
        <v>13180</v>
      </c>
      <c r="K19" s="39">
        <v>13074</v>
      </c>
      <c r="L19" s="39">
        <v>12972</v>
      </c>
      <c r="M19" s="39">
        <v>12896</v>
      </c>
      <c r="N19" s="39">
        <v>12749</v>
      </c>
      <c r="O19" s="39">
        <v>12750</v>
      </c>
      <c r="P19" s="39">
        <v>12739</v>
      </c>
      <c r="Q19" s="39">
        <v>12757</v>
      </c>
      <c r="R19" s="39">
        <v>12737</v>
      </c>
      <c r="S19" s="39">
        <v>12735</v>
      </c>
      <c r="T19" s="39">
        <v>12735</v>
      </c>
      <c r="U19" s="39">
        <v>12735</v>
      </c>
      <c r="V19" s="39"/>
      <c r="W19" s="46">
        <f t="shared" si="1"/>
        <v>-495</v>
      </c>
      <c r="X19" s="48">
        <f t="shared" si="2"/>
        <v>-3.741496598639456</v>
      </c>
      <c r="Z19" s="100">
        <f t="shared" si="0"/>
        <v>-339</v>
      </c>
      <c r="AA19" s="20">
        <f t="shared" si="3"/>
        <v>-2.592932537861404</v>
      </c>
    </row>
    <row r="20" spans="1:27" ht="12" customHeight="1">
      <c r="A20" s="30" t="s">
        <v>51</v>
      </c>
      <c r="B20" s="19" t="s">
        <v>52</v>
      </c>
      <c r="C20" s="91" t="s">
        <v>232</v>
      </c>
      <c r="D20" s="91" t="s">
        <v>233</v>
      </c>
      <c r="E20" s="91" t="s">
        <v>233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6"/>
      <c r="X20" s="48"/>
      <c r="Z20" s="100"/>
      <c r="AA20" s="20"/>
    </row>
    <row r="21" spans="1:27" ht="12" customHeight="1">
      <c r="A21" s="30" t="s">
        <v>49</v>
      </c>
      <c r="B21" s="19" t="s">
        <v>50</v>
      </c>
      <c r="C21" s="91" t="s">
        <v>232</v>
      </c>
      <c r="D21" s="91" t="s">
        <v>232</v>
      </c>
      <c r="E21" s="91" t="s">
        <v>232</v>
      </c>
      <c r="F21" s="39">
        <v>2810</v>
      </c>
      <c r="G21" s="39">
        <v>2810</v>
      </c>
      <c r="H21" s="39">
        <v>2810</v>
      </c>
      <c r="I21" s="39">
        <v>1947</v>
      </c>
      <c r="J21" s="39">
        <v>1947</v>
      </c>
      <c r="K21" s="39">
        <v>1945</v>
      </c>
      <c r="L21" s="39">
        <v>1954</v>
      </c>
      <c r="M21" s="39">
        <v>1908</v>
      </c>
      <c r="N21" s="39">
        <v>1909</v>
      </c>
      <c r="O21" s="39">
        <v>1919</v>
      </c>
      <c r="P21" s="39">
        <v>1919</v>
      </c>
      <c r="Q21" s="39">
        <v>1919</v>
      </c>
      <c r="R21" s="40">
        <v>1912</v>
      </c>
      <c r="S21" s="40">
        <v>1912</v>
      </c>
      <c r="T21" s="40">
        <v>1912</v>
      </c>
      <c r="U21" s="39">
        <v>1912</v>
      </c>
      <c r="V21" s="39"/>
      <c r="W21" s="46">
        <f>U21-F21</f>
        <v>-898</v>
      </c>
      <c r="X21" s="48">
        <f>W21/F21*100</f>
        <v>-31.957295373665477</v>
      </c>
      <c r="Z21" s="100">
        <f t="shared" si="0"/>
        <v>-33</v>
      </c>
      <c r="AA21" s="20">
        <f t="shared" si="3"/>
        <v>-1.6966580976863752</v>
      </c>
    </row>
    <row r="22" spans="1:27" ht="12" customHeight="1">
      <c r="A22" s="30" t="s">
        <v>53</v>
      </c>
      <c r="B22" s="19" t="s">
        <v>54</v>
      </c>
      <c r="C22" s="91" t="s">
        <v>232</v>
      </c>
      <c r="D22" s="91" t="s">
        <v>232</v>
      </c>
      <c r="E22" s="91" t="s">
        <v>232</v>
      </c>
      <c r="F22" s="40">
        <v>22028</v>
      </c>
      <c r="G22" s="40">
        <v>22028</v>
      </c>
      <c r="H22" s="40">
        <v>22028</v>
      </c>
      <c r="I22" s="40">
        <v>22028</v>
      </c>
      <c r="J22" s="40">
        <v>22028</v>
      </c>
      <c r="K22" s="39">
        <v>22028</v>
      </c>
      <c r="L22" s="39">
        <v>22058</v>
      </c>
      <c r="M22" s="39">
        <v>22136</v>
      </c>
      <c r="N22" s="39">
        <v>22215</v>
      </c>
      <c r="O22" s="39">
        <v>22295</v>
      </c>
      <c r="P22" s="39">
        <v>22130</v>
      </c>
      <c r="Q22" s="39">
        <v>22265</v>
      </c>
      <c r="R22" s="39">
        <v>22250</v>
      </c>
      <c r="S22" s="40">
        <v>22250</v>
      </c>
      <c r="T22" s="40">
        <v>22250</v>
      </c>
      <c r="U22" s="40">
        <v>22250</v>
      </c>
      <c r="V22" s="40"/>
      <c r="W22" s="46">
        <f>U22-F22</f>
        <v>222</v>
      </c>
      <c r="X22" s="48">
        <f>W22/F22*100</f>
        <v>1.0078082440530234</v>
      </c>
      <c r="Z22" s="100">
        <f t="shared" si="0"/>
        <v>222</v>
      </c>
      <c r="AA22" s="20">
        <f t="shared" si="3"/>
        <v>1.0078082440530234</v>
      </c>
    </row>
    <row r="23" spans="1:27" ht="12" customHeight="1">
      <c r="A23" s="30" t="s">
        <v>59</v>
      </c>
      <c r="B23" s="19" t="s">
        <v>60</v>
      </c>
      <c r="C23" s="91" t="s">
        <v>232</v>
      </c>
      <c r="D23" s="91" t="s">
        <v>232</v>
      </c>
      <c r="E23" s="91" t="s">
        <v>233</v>
      </c>
      <c r="F23" s="39">
        <v>3980</v>
      </c>
      <c r="G23" s="40">
        <v>3342</v>
      </c>
      <c r="H23" s="39">
        <v>2704</v>
      </c>
      <c r="I23" s="39">
        <v>2413</v>
      </c>
      <c r="J23" s="39">
        <v>2704</v>
      </c>
      <c r="K23" s="39">
        <v>2704</v>
      </c>
      <c r="L23" s="39">
        <v>2704</v>
      </c>
      <c r="M23" s="39">
        <v>2704</v>
      </c>
      <c r="N23" s="39">
        <v>2704</v>
      </c>
      <c r="O23" s="39">
        <v>2704</v>
      </c>
      <c r="P23" s="39">
        <v>2622</v>
      </c>
      <c r="Q23" s="39">
        <v>2593</v>
      </c>
      <c r="R23" s="39">
        <v>2583</v>
      </c>
      <c r="S23" s="39">
        <v>2583</v>
      </c>
      <c r="T23" s="39">
        <v>2583</v>
      </c>
      <c r="U23" s="39">
        <v>2583</v>
      </c>
      <c r="V23" s="39"/>
      <c r="W23" s="46">
        <f>U23-F23</f>
        <v>-1397</v>
      </c>
      <c r="X23" s="48">
        <f>W23/F23*100</f>
        <v>-35.10050251256281</v>
      </c>
      <c r="Z23" s="100">
        <f t="shared" si="0"/>
        <v>-121</v>
      </c>
      <c r="AA23" s="20">
        <f t="shared" si="3"/>
        <v>-4.474852071005917</v>
      </c>
    </row>
    <row r="24" spans="1:27" ht="12" customHeight="1">
      <c r="A24" s="30" t="s">
        <v>55</v>
      </c>
      <c r="B24" s="19" t="s">
        <v>87</v>
      </c>
      <c r="C24" s="91" t="s">
        <v>232</v>
      </c>
      <c r="D24" s="91" t="s">
        <v>232</v>
      </c>
      <c r="E24" s="91" t="s">
        <v>233</v>
      </c>
      <c r="F24" s="40">
        <v>2670</v>
      </c>
      <c r="G24" s="39">
        <v>2670</v>
      </c>
      <c r="H24" s="39">
        <v>2665.5</v>
      </c>
      <c r="I24" s="39">
        <v>2665.5</v>
      </c>
      <c r="J24" s="39">
        <v>2665.4</v>
      </c>
      <c r="K24" s="39">
        <v>2665.4</v>
      </c>
      <c r="L24" s="39">
        <v>2599.3</v>
      </c>
      <c r="M24" s="39">
        <v>2599.2</v>
      </c>
      <c r="N24" s="39">
        <v>2599</v>
      </c>
      <c r="O24" s="39">
        <v>2506</v>
      </c>
      <c r="P24" s="39">
        <v>2501.6</v>
      </c>
      <c r="Q24" s="39">
        <v>2256.5</v>
      </c>
      <c r="R24" s="39">
        <v>2232.9</v>
      </c>
      <c r="S24" s="39">
        <v>2205.3</v>
      </c>
      <c r="T24" s="39">
        <v>2199.7</v>
      </c>
      <c r="U24" s="39">
        <v>2187.4</v>
      </c>
      <c r="V24" s="39"/>
      <c r="W24" s="46">
        <f>U24-F24</f>
        <v>-482.5999999999999</v>
      </c>
      <c r="X24" s="48">
        <f>W24/F24*100</f>
        <v>-18.074906367041198</v>
      </c>
      <c r="Z24" s="100">
        <f t="shared" si="0"/>
        <v>-478</v>
      </c>
      <c r="AA24" s="20">
        <f t="shared" si="3"/>
        <v>-17.933518421250096</v>
      </c>
    </row>
    <row r="25" spans="1:27" ht="12" customHeight="1">
      <c r="A25" s="30" t="s">
        <v>57</v>
      </c>
      <c r="B25" s="19" t="s">
        <v>97</v>
      </c>
      <c r="C25" s="91" t="s">
        <v>232</v>
      </c>
      <c r="D25" s="91" t="s">
        <v>232</v>
      </c>
      <c r="E25" s="91" t="s">
        <v>232</v>
      </c>
      <c r="F25" s="4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6"/>
      <c r="X25" s="48"/>
      <c r="Z25" s="100"/>
      <c r="AA25" s="20"/>
    </row>
    <row r="26" spans="1:27" ht="12" customHeight="1">
      <c r="A26" s="30" t="s">
        <v>61</v>
      </c>
      <c r="B26" s="19" t="s">
        <v>62</v>
      </c>
      <c r="C26" s="91" t="s">
        <v>232</v>
      </c>
      <c r="D26" s="91" t="s">
        <v>232</v>
      </c>
      <c r="E26" s="91" t="s">
        <v>233</v>
      </c>
      <c r="F26" s="40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6"/>
      <c r="X26" s="48"/>
      <c r="Z26" s="100"/>
      <c r="AA26" s="20"/>
    </row>
    <row r="27" spans="1:27" ht="12" customHeight="1">
      <c r="A27" s="30" t="s">
        <v>63</v>
      </c>
      <c r="B27" s="19" t="s">
        <v>64</v>
      </c>
      <c r="C27" s="91" t="s">
        <v>232</v>
      </c>
      <c r="D27" s="91" t="s">
        <v>232</v>
      </c>
      <c r="E27" s="91" t="s">
        <v>232</v>
      </c>
      <c r="F27" s="40">
        <v>2753</v>
      </c>
      <c r="G27" s="40">
        <v>2753</v>
      </c>
      <c r="H27" s="39">
        <v>2753</v>
      </c>
      <c r="I27" s="39">
        <v>2757</v>
      </c>
      <c r="J27" s="39">
        <v>2757</v>
      </c>
      <c r="K27" s="40">
        <v>2757</v>
      </c>
      <c r="L27" s="39">
        <v>2813</v>
      </c>
      <c r="M27" s="39">
        <v>2805</v>
      </c>
      <c r="N27" s="39">
        <v>2808</v>
      </c>
      <c r="O27" s="39">
        <v>2808</v>
      </c>
      <c r="P27" s="39">
        <v>2802</v>
      </c>
      <c r="Q27" s="39">
        <v>2809</v>
      </c>
      <c r="R27" s="39">
        <v>2806</v>
      </c>
      <c r="S27" s="39">
        <v>2811</v>
      </c>
      <c r="T27" s="39">
        <v>2811</v>
      </c>
      <c r="U27" s="39">
        <v>2810</v>
      </c>
      <c r="V27" s="39"/>
      <c r="W27" s="46">
        <f aca="true" t="shared" si="4" ref="W27:W33">U27-F27</f>
        <v>57</v>
      </c>
      <c r="X27" s="48">
        <f aca="true" t="shared" si="5" ref="X27:X33">W27/F27*100</f>
        <v>2.070468579731202</v>
      </c>
      <c r="Z27" s="100">
        <f t="shared" si="0"/>
        <v>53</v>
      </c>
      <c r="AA27" s="20">
        <f t="shared" si="3"/>
        <v>1.922379397896264</v>
      </c>
    </row>
    <row r="28" spans="1:27" ht="12" customHeight="1">
      <c r="A28" s="30" t="s">
        <v>65</v>
      </c>
      <c r="B28" s="19" t="s">
        <v>66</v>
      </c>
      <c r="C28" s="91" t="s">
        <v>232</v>
      </c>
      <c r="D28" s="91" t="s">
        <v>233</v>
      </c>
      <c r="E28" s="91" t="s">
        <v>233</v>
      </c>
      <c r="F28" s="39">
        <v>4044</v>
      </c>
      <c r="G28" s="39">
        <v>4027</v>
      </c>
      <c r="H28" s="39">
        <v>4027</v>
      </c>
      <c r="I28" s="39">
        <v>4023</v>
      </c>
      <c r="J28" s="39">
        <v>4023</v>
      </c>
      <c r="K28" s="39">
        <v>4023</v>
      </c>
      <c r="L28" s="39">
        <v>4152</v>
      </c>
      <c r="M28" s="39">
        <v>4152</v>
      </c>
      <c r="N28" s="39">
        <v>4152</v>
      </c>
      <c r="O28" s="39">
        <v>4021</v>
      </c>
      <c r="P28" s="39">
        <v>4413</v>
      </c>
      <c r="Q28" s="39">
        <v>4425</v>
      </c>
      <c r="R28" s="39">
        <v>4324</v>
      </c>
      <c r="S28" s="39">
        <v>4334</v>
      </c>
      <c r="T28" s="39">
        <v>4334</v>
      </c>
      <c r="U28" s="39">
        <v>4311</v>
      </c>
      <c r="V28" s="39"/>
      <c r="W28" s="46">
        <f t="shared" si="4"/>
        <v>267</v>
      </c>
      <c r="X28" s="48">
        <f t="shared" si="5"/>
        <v>6.602373887240357</v>
      </c>
      <c r="Z28" s="100">
        <f t="shared" si="0"/>
        <v>288</v>
      </c>
      <c r="AA28" s="20">
        <f t="shared" si="3"/>
        <v>7.158836689038031</v>
      </c>
    </row>
    <row r="29" spans="1:27" ht="12" customHeight="1">
      <c r="A29" s="30" t="s">
        <v>67</v>
      </c>
      <c r="B29" s="19" t="s">
        <v>68</v>
      </c>
      <c r="C29" s="91" t="s">
        <v>232</v>
      </c>
      <c r="D29" s="91" t="s">
        <v>232</v>
      </c>
      <c r="E29" s="91" t="s">
        <v>233</v>
      </c>
      <c r="F29" s="39">
        <v>49784</v>
      </c>
      <c r="G29" s="39">
        <v>49441</v>
      </c>
      <c r="H29" s="39">
        <v>48310</v>
      </c>
      <c r="I29" s="39">
        <v>48196</v>
      </c>
      <c r="J29" s="39">
        <v>46004</v>
      </c>
      <c r="K29" s="39">
        <v>46378</v>
      </c>
      <c r="L29" s="39">
        <v>45928</v>
      </c>
      <c r="M29" s="39">
        <v>45846</v>
      </c>
      <c r="N29" s="39">
        <v>45176</v>
      </c>
      <c r="O29" s="39">
        <v>43430</v>
      </c>
      <c r="P29" s="39">
        <v>41960</v>
      </c>
      <c r="Q29" s="39">
        <v>40004</v>
      </c>
      <c r="R29" s="39">
        <v>40703</v>
      </c>
      <c r="S29" s="39">
        <v>39153</v>
      </c>
      <c r="T29" s="39">
        <v>38781</v>
      </c>
      <c r="U29" s="39">
        <v>38920</v>
      </c>
      <c r="V29" s="39"/>
      <c r="W29" s="46">
        <f t="shared" si="4"/>
        <v>-10864</v>
      </c>
      <c r="X29" s="48">
        <f t="shared" si="5"/>
        <v>-21.822272215973005</v>
      </c>
      <c r="Z29" s="100">
        <f t="shared" si="0"/>
        <v>-7458</v>
      </c>
      <c r="AA29" s="20">
        <f t="shared" si="3"/>
        <v>-16.080900426926558</v>
      </c>
    </row>
    <row r="30" spans="1:27" ht="12" customHeight="1">
      <c r="A30" s="30" t="s">
        <v>69</v>
      </c>
      <c r="B30" s="19" t="s">
        <v>70</v>
      </c>
      <c r="C30" s="91" t="s">
        <v>232</v>
      </c>
      <c r="D30" s="91" t="s">
        <v>232</v>
      </c>
      <c r="E30" s="91" t="s">
        <v>232</v>
      </c>
      <c r="F30" s="40">
        <v>3483</v>
      </c>
      <c r="G30" s="40">
        <v>3483</v>
      </c>
      <c r="H30" s="39">
        <v>3483</v>
      </c>
      <c r="I30" s="39">
        <v>3513</v>
      </c>
      <c r="J30" s="39">
        <v>3520</v>
      </c>
      <c r="K30" s="39">
        <v>3520</v>
      </c>
      <c r="L30" s="39">
        <v>3541</v>
      </c>
      <c r="M30" s="39">
        <v>3510</v>
      </c>
      <c r="N30" s="39">
        <v>3259</v>
      </c>
      <c r="O30" s="39">
        <v>3579</v>
      </c>
      <c r="P30" s="39">
        <v>3579</v>
      </c>
      <c r="Q30" s="39">
        <v>2813.7</v>
      </c>
      <c r="R30" s="39">
        <v>2801.2</v>
      </c>
      <c r="S30" s="40">
        <v>2801.2</v>
      </c>
      <c r="T30" s="40">
        <v>2801.2</v>
      </c>
      <c r="U30" s="40">
        <v>2801.2</v>
      </c>
      <c r="V30" s="40"/>
      <c r="W30" s="46">
        <f t="shared" si="4"/>
        <v>-681.8000000000002</v>
      </c>
      <c r="X30" s="48">
        <f t="shared" si="5"/>
        <v>-19.57507895492392</v>
      </c>
      <c r="Z30" s="100">
        <f t="shared" si="0"/>
        <v>-718.8000000000002</v>
      </c>
      <c r="AA30" s="20">
        <f t="shared" si="3"/>
        <v>-20.42045454545455</v>
      </c>
    </row>
    <row r="31" spans="1:27" ht="12" customHeight="1">
      <c r="A31" s="30" t="s">
        <v>71</v>
      </c>
      <c r="B31" s="19" t="s">
        <v>72</v>
      </c>
      <c r="C31" s="91" t="s">
        <v>232</v>
      </c>
      <c r="D31" s="91" t="s">
        <v>232</v>
      </c>
      <c r="E31" s="91" t="s">
        <v>233</v>
      </c>
      <c r="F31" s="39">
        <v>22179</v>
      </c>
      <c r="G31" s="39">
        <v>22302</v>
      </c>
      <c r="H31" s="39">
        <v>22345</v>
      </c>
      <c r="I31" s="39">
        <v>22239</v>
      </c>
      <c r="J31" s="39">
        <v>22239</v>
      </c>
      <c r="K31" s="39">
        <v>22356</v>
      </c>
      <c r="L31" s="39">
        <v>22365</v>
      </c>
      <c r="M31" s="39">
        <v>22350</v>
      </c>
      <c r="N31" s="39">
        <v>22369</v>
      </c>
      <c r="O31" s="39">
        <v>22369</v>
      </c>
      <c r="P31" s="39">
        <v>22363</v>
      </c>
      <c r="Q31" s="39">
        <v>22309</v>
      </c>
      <c r="R31" s="39">
        <v>22298</v>
      </c>
      <c r="S31" s="40">
        <v>21829</v>
      </c>
      <c r="T31" s="39">
        <v>21360</v>
      </c>
      <c r="U31" s="39">
        <v>21228</v>
      </c>
      <c r="V31" s="39"/>
      <c r="W31" s="46">
        <f t="shared" si="4"/>
        <v>-951</v>
      </c>
      <c r="X31" s="48">
        <f t="shared" si="5"/>
        <v>-4.287839848505342</v>
      </c>
      <c r="Z31" s="100">
        <f t="shared" si="0"/>
        <v>-1128</v>
      </c>
      <c r="AA31" s="20">
        <f t="shared" si="3"/>
        <v>-5.045625335480408</v>
      </c>
    </row>
    <row r="32" spans="1:27" ht="12" customHeight="1">
      <c r="A32" s="30" t="s">
        <v>77</v>
      </c>
      <c r="B32" s="19" t="s">
        <v>78</v>
      </c>
      <c r="C32" s="91" t="s">
        <v>232</v>
      </c>
      <c r="D32" s="91" t="s">
        <v>232</v>
      </c>
      <c r="E32" s="91" t="s">
        <v>233</v>
      </c>
      <c r="F32" s="39">
        <v>3660</v>
      </c>
      <c r="G32" s="39">
        <v>3661</v>
      </c>
      <c r="H32" s="39">
        <v>3661</v>
      </c>
      <c r="I32" s="39">
        <v>3661</v>
      </c>
      <c r="J32" s="39">
        <v>3661</v>
      </c>
      <c r="K32" s="39">
        <v>3665</v>
      </c>
      <c r="L32" s="39">
        <v>3673</v>
      </c>
      <c r="M32" s="39">
        <v>3673</v>
      </c>
      <c r="N32" s="39">
        <v>3665</v>
      </c>
      <c r="O32" s="39">
        <v>3665</v>
      </c>
      <c r="P32" s="39">
        <v>3662</v>
      </c>
      <c r="Q32" s="39">
        <v>3662</v>
      </c>
      <c r="R32" s="39">
        <v>3657</v>
      </c>
      <c r="S32" s="39">
        <v>3657</v>
      </c>
      <c r="T32" s="39">
        <v>3660</v>
      </c>
      <c r="U32" s="39">
        <v>3658</v>
      </c>
      <c r="V32" s="39"/>
      <c r="W32" s="46">
        <f t="shared" si="4"/>
        <v>-2</v>
      </c>
      <c r="X32" s="48">
        <f t="shared" si="5"/>
        <v>-0.0546448087431694</v>
      </c>
      <c r="Z32" s="100">
        <f t="shared" si="0"/>
        <v>-7</v>
      </c>
      <c r="AA32" s="20">
        <f t="shared" si="3"/>
        <v>-0.19099590723055934</v>
      </c>
    </row>
    <row r="33" spans="1:27" ht="12" customHeight="1">
      <c r="A33" s="30" t="s">
        <v>75</v>
      </c>
      <c r="B33" s="19" t="s">
        <v>76</v>
      </c>
      <c r="C33" s="91" t="s">
        <v>232</v>
      </c>
      <c r="D33" s="91" t="s">
        <v>232</v>
      </c>
      <c r="E33" s="91" t="s">
        <v>233</v>
      </c>
      <c r="F33" s="40">
        <v>2195</v>
      </c>
      <c r="G33" s="40">
        <v>2195</v>
      </c>
      <c r="H33" s="39">
        <v>2195</v>
      </c>
      <c r="I33" s="39">
        <v>2197</v>
      </c>
      <c r="J33" s="39">
        <v>2197</v>
      </c>
      <c r="K33" s="39">
        <v>2196</v>
      </c>
      <c r="L33" s="39">
        <v>2196</v>
      </c>
      <c r="M33" s="39">
        <v>2196</v>
      </c>
      <c r="N33" s="39">
        <v>2193</v>
      </c>
      <c r="O33" s="39">
        <v>2162</v>
      </c>
      <c r="P33" s="39">
        <v>2162</v>
      </c>
      <c r="Q33" s="39">
        <v>2192.3</v>
      </c>
      <c r="R33" s="39">
        <v>2194.7</v>
      </c>
      <c r="S33" s="39">
        <v>2192.6</v>
      </c>
      <c r="T33" s="39">
        <v>2192.7</v>
      </c>
      <c r="U33" s="39">
        <v>2192.8</v>
      </c>
      <c r="V33" s="39"/>
      <c r="W33" s="46">
        <f t="shared" si="4"/>
        <v>-2.199999999999818</v>
      </c>
      <c r="X33" s="48">
        <f t="shared" si="5"/>
        <v>-0.10022779043279355</v>
      </c>
      <c r="Z33" s="100">
        <f t="shared" si="0"/>
        <v>-3.199999999999818</v>
      </c>
      <c r="AA33" s="20">
        <f t="shared" si="3"/>
        <v>-0.14571948998177678</v>
      </c>
    </row>
    <row r="34" spans="1:27" ht="12" customHeight="1">
      <c r="A34" s="30" t="s">
        <v>39</v>
      </c>
      <c r="B34" s="19" t="s">
        <v>40</v>
      </c>
      <c r="C34" s="91" t="s">
        <v>232</v>
      </c>
      <c r="D34" s="91" t="s">
        <v>232</v>
      </c>
      <c r="E34" s="91" t="s">
        <v>232</v>
      </c>
      <c r="F34" s="40"/>
      <c r="G34" s="40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6"/>
      <c r="X34" s="48"/>
      <c r="Z34" s="100"/>
      <c r="AA34" s="20"/>
    </row>
    <row r="35" spans="1:27" ht="12" customHeight="1">
      <c r="A35" s="30" t="s">
        <v>73</v>
      </c>
      <c r="B35" s="19" t="s">
        <v>74</v>
      </c>
      <c r="C35" s="91" t="s">
        <v>232</v>
      </c>
      <c r="D35" s="91" t="s">
        <v>232</v>
      </c>
      <c r="E35" s="91" t="s">
        <v>232</v>
      </c>
      <c r="F35" s="39">
        <v>16545</v>
      </c>
      <c r="G35" s="39">
        <v>16784</v>
      </c>
      <c r="H35" s="39">
        <v>15060</v>
      </c>
      <c r="I35" s="39">
        <v>11089</v>
      </c>
      <c r="J35" s="39">
        <v>11037</v>
      </c>
      <c r="K35" s="39">
        <v>11289</v>
      </c>
      <c r="L35" s="39">
        <v>11345</v>
      </c>
      <c r="M35" s="39">
        <v>11366</v>
      </c>
      <c r="N35" s="39">
        <v>11448</v>
      </c>
      <c r="O35" s="39">
        <v>11498</v>
      </c>
      <c r="P35" s="39">
        <v>11631</v>
      </c>
      <c r="Q35" s="39">
        <v>15275</v>
      </c>
      <c r="R35" s="39">
        <v>15472</v>
      </c>
      <c r="S35" s="39">
        <v>15365</v>
      </c>
      <c r="T35" s="39">
        <v>15381</v>
      </c>
      <c r="U35" s="39">
        <v>15360</v>
      </c>
      <c r="V35" s="39"/>
      <c r="W35" s="46">
        <f>U35-F35</f>
        <v>-1185</v>
      </c>
      <c r="X35" s="48">
        <f>W35/F35*100</f>
        <v>-7.162284678150499</v>
      </c>
      <c r="Z35" s="100">
        <f t="shared" si="0"/>
        <v>4071</v>
      </c>
      <c r="AA35" s="20">
        <f t="shared" si="3"/>
        <v>36.061652936486844</v>
      </c>
    </row>
    <row r="36" spans="1:27" ht="12" customHeight="1">
      <c r="A36" s="30" t="s">
        <v>154</v>
      </c>
      <c r="B36" s="19" t="s">
        <v>91</v>
      </c>
      <c r="C36" s="91" t="s">
        <v>232</v>
      </c>
      <c r="D36" s="91" t="s">
        <v>233</v>
      </c>
      <c r="E36" s="91" t="s">
        <v>233</v>
      </c>
      <c r="F36" s="39">
        <v>7437</v>
      </c>
      <c r="G36" s="39">
        <v>7400</v>
      </c>
      <c r="H36" s="39">
        <v>7404</v>
      </c>
      <c r="I36" s="39">
        <v>7382</v>
      </c>
      <c r="J36" s="39">
        <v>7457</v>
      </c>
      <c r="K36" s="39">
        <v>7461</v>
      </c>
      <c r="L36" s="39">
        <v>7487</v>
      </c>
      <c r="M36" s="40">
        <v>7487</v>
      </c>
      <c r="N36" s="40">
        <v>7487</v>
      </c>
      <c r="O36" s="40">
        <v>7487</v>
      </c>
      <c r="P36" s="40">
        <v>7487</v>
      </c>
      <c r="Q36" s="40">
        <v>7487</v>
      </c>
      <c r="R36" s="40">
        <v>7487</v>
      </c>
      <c r="S36" s="40">
        <v>7487</v>
      </c>
      <c r="T36" s="40">
        <v>7487</v>
      </c>
      <c r="U36" s="40">
        <v>7487</v>
      </c>
      <c r="V36" s="40"/>
      <c r="W36" s="46">
        <f>U36-F36</f>
        <v>50</v>
      </c>
      <c r="X36" s="48">
        <f>W36/F36*100</f>
        <v>0.6723141051499261</v>
      </c>
      <c r="Z36" s="100">
        <f t="shared" si="0"/>
        <v>26</v>
      </c>
      <c r="AA36" s="20">
        <f t="shared" si="3"/>
        <v>0.34847875619890095</v>
      </c>
    </row>
    <row r="37" spans="1:27" ht="12" customHeight="1">
      <c r="A37" s="30" t="s">
        <v>79</v>
      </c>
      <c r="B37" s="19" t="s">
        <v>80</v>
      </c>
      <c r="C37" s="91" t="s">
        <v>232</v>
      </c>
      <c r="D37" s="91" t="s">
        <v>233</v>
      </c>
      <c r="E37" s="91" t="s">
        <v>233</v>
      </c>
      <c r="F37" s="39">
        <v>10389</v>
      </c>
      <c r="G37" s="40">
        <v>10389</v>
      </c>
      <c r="H37" s="39">
        <v>10413</v>
      </c>
      <c r="I37" s="39">
        <v>10413</v>
      </c>
      <c r="J37" s="39">
        <v>10386</v>
      </c>
      <c r="K37" s="39">
        <v>10466</v>
      </c>
      <c r="L37" s="39">
        <v>10508</v>
      </c>
      <c r="M37" s="39">
        <v>10508</v>
      </c>
      <c r="N37" s="39">
        <v>10508</v>
      </c>
      <c r="O37" s="39">
        <v>10933</v>
      </c>
      <c r="P37" s="40">
        <v>8697</v>
      </c>
      <c r="Q37" s="40">
        <v>8697</v>
      </c>
      <c r="R37" s="40">
        <v>8697</v>
      </c>
      <c r="S37" s="39">
        <v>8697</v>
      </c>
      <c r="T37" s="39">
        <v>8697</v>
      </c>
      <c r="U37" s="39">
        <v>10984</v>
      </c>
      <c r="V37" s="39"/>
      <c r="W37" s="46">
        <f>U37-F37</f>
        <v>595</v>
      </c>
      <c r="X37" s="48">
        <f>W37/F37*100</f>
        <v>5.727211473674078</v>
      </c>
      <c r="Z37" s="100">
        <f t="shared" si="0"/>
        <v>518</v>
      </c>
      <c r="AA37" s="20">
        <f t="shared" si="3"/>
        <v>4.949359831836422</v>
      </c>
    </row>
    <row r="38" spans="1:27" ht="12" customHeight="1">
      <c r="A38" s="30" t="s">
        <v>81</v>
      </c>
      <c r="B38" s="19" t="s">
        <v>82</v>
      </c>
      <c r="C38" s="91" t="s">
        <v>232</v>
      </c>
      <c r="D38" s="91" t="s">
        <v>232</v>
      </c>
      <c r="E38" s="91" t="s">
        <v>232</v>
      </c>
      <c r="F38" s="40">
        <v>33015</v>
      </c>
      <c r="G38" s="40">
        <v>33015</v>
      </c>
      <c r="H38" s="39">
        <v>33015</v>
      </c>
      <c r="I38" s="39">
        <v>33040</v>
      </c>
      <c r="J38" s="39">
        <v>33060</v>
      </c>
      <c r="K38" s="39">
        <v>34301</v>
      </c>
      <c r="L38" s="39">
        <v>34301</v>
      </c>
      <c r="M38" s="39">
        <v>34301</v>
      </c>
      <c r="N38" s="39">
        <v>34321</v>
      </c>
      <c r="O38" s="39">
        <v>34847</v>
      </c>
      <c r="P38" s="39">
        <v>34661</v>
      </c>
      <c r="Q38" s="39">
        <v>34480</v>
      </c>
      <c r="R38" s="39">
        <v>34497</v>
      </c>
      <c r="S38" s="39">
        <v>34427</v>
      </c>
      <c r="T38" s="39">
        <v>33000</v>
      </c>
      <c r="U38" s="40">
        <v>33000</v>
      </c>
      <c r="V38" s="40"/>
      <c r="W38" s="46">
        <f>U38-F38</f>
        <v>-15</v>
      </c>
      <c r="X38" s="48">
        <f>W38/F38*100</f>
        <v>-0.045433893684688774</v>
      </c>
      <c r="Z38" s="100">
        <f t="shared" si="0"/>
        <v>-1301</v>
      </c>
      <c r="AA38" s="20">
        <f t="shared" si="3"/>
        <v>-3.792892335500423</v>
      </c>
    </row>
    <row r="39" spans="2:27" ht="12" customHeight="1">
      <c r="B39" s="19" t="s">
        <v>234</v>
      </c>
      <c r="C39" s="19">
        <f>COUNTIF(C8:C38,"y")</f>
        <v>31</v>
      </c>
      <c r="D39" s="19">
        <f>COUNTIF(D8:D38,"y")</f>
        <v>27</v>
      </c>
      <c r="E39" s="19">
        <f>COUNTIF(E8:E38,"y")</f>
        <v>15</v>
      </c>
      <c r="F39" s="97">
        <f>COUNT(F8:F38)</f>
        <v>26</v>
      </c>
      <c r="G39" s="97">
        <f aca="true" t="shared" si="6" ref="G39:U39">COUNT(G8:G38)</f>
        <v>26</v>
      </c>
      <c r="H39" s="97">
        <f t="shared" si="6"/>
        <v>26</v>
      </c>
      <c r="I39" s="97">
        <f t="shared" si="6"/>
        <v>26</v>
      </c>
      <c r="J39" s="97">
        <f t="shared" si="6"/>
        <v>26</v>
      </c>
      <c r="K39" s="97">
        <f t="shared" si="6"/>
        <v>26</v>
      </c>
      <c r="L39" s="97">
        <f t="shared" si="6"/>
        <v>26</v>
      </c>
      <c r="M39" s="97">
        <f t="shared" si="6"/>
        <v>26</v>
      </c>
      <c r="N39" s="97">
        <f t="shared" si="6"/>
        <v>26</v>
      </c>
      <c r="O39" s="97">
        <f t="shared" si="6"/>
        <v>26</v>
      </c>
      <c r="P39" s="97">
        <f t="shared" si="6"/>
        <v>26</v>
      </c>
      <c r="Q39" s="97">
        <f t="shared" si="6"/>
        <v>26</v>
      </c>
      <c r="R39" s="97">
        <f t="shared" si="6"/>
        <v>26</v>
      </c>
      <c r="S39" s="97">
        <f t="shared" si="6"/>
        <v>26</v>
      </c>
      <c r="T39" s="97">
        <f t="shared" si="6"/>
        <v>26</v>
      </c>
      <c r="U39" s="97">
        <f t="shared" si="6"/>
        <v>26</v>
      </c>
      <c r="V39" s="40"/>
      <c r="W39" s="38"/>
      <c r="X39" s="38"/>
      <c r="Z39" s="100"/>
      <c r="AA39" s="20"/>
    </row>
    <row r="40" spans="6:27" ht="12" customHeight="1">
      <c r="F40" s="40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0"/>
      <c r="V40" s="40"/>
      <c r="W40" s="38"/>
      <c r="X40" s="38"/>
      <c r="Z40" s="100"/>
      <c r="AA40" s="20"/>
    </row>
    <row r="41" spans="2:27" s="24" customFormat="1" ht="12" customHeight="1">
      <c r="B41" s="31" t="s">
        <v>155</v>
      </c>
      <c r="C41" s="31"/>
      <c r="D41" s="31"/>
      <c r="E41" s="31"/>
      <c r="F41" s="34">
        <f aca="true" t="shared" si="7" ref="F41:K41">SUM(F8:F38)</f>
        <v>393095.8</v>
      </c>
      <c r="G41" s="34">
        <f t="shared" si="7"/>
        <v>392236.8</v>
      </c>
      <c r="H41" s="34">
        <f t="shared" si="7"/>
        <v>388110.3</v>
      </c>
      <c r="I41" s="34">
        <f t="shared" si="7"/>
        <v>380496.3</v>
      </c>
      <c r="J41" s="34">
        <f t="shared" si="7"/>
        <v>374647.6</v>
      </c>
      <c r="K41" s="34">
        <f t="shared" si="7"/>
        <v>369620.6</v>
      </c>
      <c r="L41" s="34">
        <f aca="true" t="shared" si="8" ref="L41:T41">SUM(L8:L38)</f>
        <v>375803.4</v>
      </c>
      <c r="M41" s="34">
        <f t="shared" si="8"/>
        <v>370733.2</v>
      </c>
      <c r="N41" s="34">
        <f t="shared" si="8"/>
        <v>367681</v>
      </c>
      <c r="O41" s="34">
        <f t="shared" si="8"/>
        <v>364331</v>
      </c>
      <c r="P41" s="34">
        <f t="shared" si="8"/>
        <v>360054.4</v>
      </c>
      <c r="Q41" s="34">
        <f t="shared" si="8"/>
        <v>358940.3</v>
      </c>
      <c r="R41" s="34">
        <f>SUM(R8:R38)</f>
        <v>357624.1</v>
      </c>
      <c r="S41" s="34">
        <f t="shared" si="8"/>
        <v>354908.69999999995</v>
      </c>
      <c r="T41" s="34">
        <f t="shared" si="8"/>
        <v>352144.60000000003</v>
      </c>
      <c r="U41" s="34">
        <f>SUM(U8:U38)</f>
        <v>354784.39999999997</v>
      </c>
      <c r="V41" s="52"/>
      <c r="W41" s="54">
        <f>U41-F41</f>
        <v>-38311.40000000002</v>
      </c>
      <c r="X41" s="56">
        <f>W41/F41*100</f>
        <v>-9.746072077086557</v>
      </c>
      <c r="Z41" s="106">
        <f>U41-K41</f>
        <v>-14836.200000000012</v>
      </c>
      <c r="AA41" s="25">
        <f>Z41/K41*100</f>
        <v>-4.01389965819005</v>
      </c>
    </row>
    <row r="42" spans="2:26" s="25" customFormat="1" ht="12" customHeight="1">
      <c r="B42" s="53" t="s">
        <v>156</v>
      </c>
      <c r="C42" s="53"/>
      <c r="D42" s="53"/>
      <c r="E42" s="53"/>
      <c r="F42" s="34">
        <v>100</v>
      </c>
      <c r="G42" s="34">
        <f>100*G41/F41</f>
        <v>99.78147820454963</v>
      </c>
      <c r="H42" s="34">
        <f>100*H41/F41</f>
        <v>98.7317340963704</v>
      </c>
      <c r="I42" s="34">
        <f>100*I41/F41</f>
        <v>96.79480167429925</v>
      </c>
      <c r="J42" s="34">
        <f>100*J41/F41</f>
        <v>95.3069455333789</v>
      </c>
      <c r="K42" s="34">
        <f>100*K41/F41</f>
        <v>94.02812240680262</v>
      </c>
      <c r="L42" s="34">
        <f>100*L41/F41</f>
        <v>95.60097055221654</v>
      </c>
      <c r="M42" s="34">
        <f>100*M41/F41</f>
        <v>94.31115773813916</v>
      </c>
      <c r="N42" s="34">
        <f>100*N41/F41</f>
        <v>93.5347057892758</v>
      </c>
      <c r="O42" s="34">
        <f>100*O41/F41</f>
        <v>92.68249622611079</v>
      </c>
      <c r="P42" s="34">
        <f>100*P41/F41</f>
        <v>91.59456804168347</v>
      </c>
      <c r="Q42" s="34">
        <f>100*Q41/F41</f>
        <v>91.31115112397538</v>
      </c>
      <c r="R42" s="34">
        <f>100*R41/F41</f>
        <v>90.97632180247156</v>
      </c>
      <c r="S42" s="34">
        <f>100*S41/F41</f>
        <v>90.28554871357056</v>
      </c>
      <c r="T42" s="34">
        <f>100*T41/F41</f>
        <v>89.58238678713943</v>
      </c>
      <c r="U42" s="34">
        <f>100*U41/F41</f>
        <v>90.25392792291345</v>
      </c>
      <c r="V42" s="52"/>
      <c r="W42" s="55"/>
      <c r="X42" s="56"/>
      <c r="Z42" s="106"/>
    </row>
    <row r="43" spans="2:27" ht="12" customHeight="1">
      <c r="B43" s="33" t="s">
        <v>170</v>
      </c>
      <c r="C43" s="33"/>
      <c r="D43" s="33"/>
      <c r="E43" s="33"/>
      <c r="F43" s="34">
        <f>F10+F11+F14+F19+F23+F24+F29+F31+F32+F33</f>
        <v>106223.8</v>
      </c>
      <c r="G43" s="34">
        <f aca="true" t="shared" si="9" ref="G43:U43">G10+G11+G14+G19+G23+G24+G29+G31+G32+G33</f>
        <v>105348.8</v>
      </c>
      <c r="H43" s="34">
        <f t="shared" si="9"/>
        <v>103520.3</v>
      </c>
      <c r="I43" s="34">
        <f t="shared" si="9"/>
        <v>103085.3</v>
      </c>
      <c r="J43" s="34">
        <f t="shared" si="9"/>
        <v>101072.6</v>
      </c>
      <c r="K43" s="34">
        <f t="shared" si="9"/>
        <v>101411.6</v>
      </c>
      <c r="L43" s="34">
        <f t="shared" si="9"/>
        <v>100776.4</v>
      </c>
      <c r="M43" s="34">
        <f t="shared" si="9"/>
        <v>101528.2</v>
      </c>
      <c r="N43" s="34">
        <f t="shared" si="9"/>
        <v>99621</v>
      </c>
      <c r="O43" s="34">
        <f t="shared" si="9"/>
        <v>97749</v>
      </c>
      <c r="P43" s="34">
        <f t="shared" si="9"/>
        <v>96031.6</v>
      </c>
      <c r="Q43" s="34">
        <f t="shared" si="9"/>
        <v>93699.2</v>
      </c>
      <c r="R43" s="34">
        <f t="shared" si="9"/>
        <v>94351.9</v>
      </c>
      <c r="S43" s="34">
        <f t="shared" si="9"/>
        <v>92334.5</v>
      </c>
      <c r="T43" s="34">
        <f t="shared" si="9"/>
        <v>91336.4</v>
      </c>
      <c r="U43" s="34">
        <f t="shared" si="9"/>
        <v>91327.2</v>
      </c>
      <c r="V43" s="39"/>
      <c r="W43" s="54">
        <f>U43-F43</f>
        <v>-14896.600000000006</v>
      </c>
      <c r="X43" s="56">
        <f>W43/F43*100</f>
        <v>-14.023787512779625</v>
      </c>
      <c r="Z43" s="106">
        <f>U43-K43</f>
        <v>-10084.400000000009</v>
      </c>
      <c r="AA43" s="25">
        <f>Z43/K43*100</f>
        <v>-9.944030071510564</v>
      </c>
    </row>
    <row r="45" spans="2:23" ht="12" customHeight="1">
      <c r="B45" s="19" t="s">
        <v>236</v>
      </c>
      <c r="C45" s="19" t="s">
        <v>237</v>
      </c>
      <c r="F45" s="92">
        <f>(SUMIF($C$8:$C$38,"Y",F8:F38))/F41</f>
        <v>1</v>
      </c>
      <c r="G45" s="92">
        <f aca="true" t="shared" si="10" ref="G45:U45">(SUMIF($C$8:$C$38,"Y",G8:G38))/G41</f>
        <v>1</v>
      </c>
      <c r="H45" s="92">
        <f t="shared" si="10"/>
        <v>1</v>
      </c>
      <c r="I45" s="92">
        <f t="shared" si="10"/>
        <v>1</v>
      </c>
      <c r="J45" s="92">
        <f t="shared" si="10"/>
        <v>1</v>
      </c>
      <c r="K45" s="92">
        <f t="shared" si="10"/>
        <v>1</v>
      </c>
      <c r="L45" s="92">
        <f t="shared" si="10"/>
        <v>1</v>
      </c>
      <c r="M45" s="92">
        <f t="shared" si="10"/>
        <v>1</v>
      </c>
      <c r="N45" s="92">
        <f t="shared" si="10"/>
        <v>1</v>
      </c>
      <c r="O45" s="92">
        <f t="shared" si="10"/>
        <v>1</v>
      </c>
      <c r="P45" s="92">
        <f t="shared" si="10"/>
        <v>1</v>
      </c>
      <c r="Q45" s="92">
        <f t="shared" si="10"/>
        <v>1</v>
      </c>
      <c r="R45" s="92">
        <f t="shared" si="10"/>
        <v>1</v>
      </c>
      <c r="S45" s="92">
        <f t="shared" si="10"/>
        <v>1</v>
      </c>
      <c r="T45" s="92">
        <f t="shared" si="10"/>
        <v>1</v>
      </c>
      <c r="U45" s="92">
        <f t="shared" si="10"/>
        <v>1</v>
      </c>
      <c r="W45" s="100"/>
    </row>
    <row r="46" spans="3:6" ht="12" customHeight="1">
      <c r="C46" s="19" t="s">
        <v>153</v>
      </c>
      <c r="F46" s="92">
        <f>(SUMIF($E$8:$E$38,"Y",F8:F38))/F43</f>
        <v>2.3323680757043146</v>
      </c>
    </row>
    <row r="47" spans="2:21" ht="12" customHeight="1">
      <c r="B47" s="23"/>
      <c r="C47" s="80" t="s">
        <v>242</v>
      </c>
      <c r="G47" s="92">
        <f>((SUMIF($C$8:$C$38,"Y",G8:G38)/SUMIF($C$8:$C$38,"Y",$F$8:$F$38))*100)/G42</f>
        <v>1</v>
      </c>
      <c r="H47" s="92">
        <f aca="true" t="shared" si="11" ref="H47:U47">((SUMIF($C$8:$C$38,"Y",H8:H38)/SUMIF($C$8:$C$38,"Y",$F$8:$F$38))*100)/H42</f>
        <v>1</v>
      </c>
      <c r="I47" s="92">
        <f t="shared" si="11"/>
        <v>1</v>
      </c>
      <c r="J47" s="92">
        <f t="shared" si="11"/>
        <v>0.9999999999999999</v>
      </c>
      <c r="K47" s="92">
        <f t="shared" si="11"/>
        <v>1</v>
      </c>
      <c r="L47" s="92">
        <f t="shared" si="11"/>
        <v>1.0000000000000002</v>
      </c>
      <c r="M47" s="92">
        <f t="shared" si="11"/>
        <v>1</v>
      </c>
      <c r="N47" s="92">
        <f t="shared" si="11"/>
        <v>0.9999999999999999</v>
      </c>
      <c r="O47" s="92">
        <f t="shared" si="11"/>
        <v>1</v>
      </c>
      <c r="P47" s="92">
        <f t="shared" si="11"/>
        <v>1.0000000000000002</v>
      </c>
      <c r="Q47" s="92">
        <f t="shared" si="11"/>
        <v>1</v>
      </c>
      <c r="R47" s="92">
        <f t="shared" si="11"/>
        <v>1</v>
      </c>
      <c r="S47" s="92">
        <f t="shared" si="11"/>
        <v>1.0000000000000002</v>
      </c>
      <c r="T47" s="92">
        <f t="shared" si="11"/>
        <v>1</v>
      </c>
      <c r="U47" s="92">
        <f t="shared" si="11"/>
        <v>1</v>
      </c>
    </row>
    <row r="49" spans="2:7" ht="12" customHeight="1">
      <c r="B49" s="98" t="s">
        <v>240</v>
      </c>
      <c r="C49" s="98"/>
      <c r="D49" s="98"/>
      <c r="E49" s="98"/>
      <c r="F49" s="98"/>
      <c r="G49" s="98"/>
    </row>
    <row r="51" spans="2:24" ht="12" customHeight="1">
      <c r="B51" s="19" t="s">
        <v>153</v>
      </c>
      <c r="F51" s="19">
        <f>SUMIF($E$8:$E$38,"y",F8:F38)</f>
        <v>247753</v>
      </c>
      <c r="G51" s="19">
        <f aca="true" t="shared" si="12" ref="G51:U51">SUMIF($E$8:$E$38,"y",G8:G38)</f>
        <v>247823</v>
      </c>
      <c r="H51" s="19">
        <f t="shared" si="12"/>
        <v>245497</v>
      </c>
      <c r="I51" s="19">
        <f t="shared" si="12"/>
        <v>238344</v>
      </c>
      <c r="J51" s="19">
        <f t="shared" si="12"/>
        <v>234134</v>
      </c>
      <c r="K51" s="19">
        <f t="shared" si="12"/>
        <v>229375</v>
      </c>
      <c r="L51" s="19">
        <f t="shared" si="12"/>
        <v>236003</v>
      </c>
      <c r="M51" s="19">
        <f t="shared" si="12"/>
        <v>230344</v>
      </c>
      <c r="N51" s="19">
        <f t="shared" si="12"/>
        <v>229199</v>
      </c>
      <c r="O51" s="19">
        <f t="shared" si="12"/>
        <v>227116</v>
      </c>
      <c r="P51" s="82">
        <f t="shared" si="12"/>
        <v>226931.8</v>
      </c>
      <c r="Q51" s="82">
        <f t="shared" si="12"/>
        <v>228185.1</v>
      </c>
      <c r="R51" s="82">
        <f t="shared" si="12"/>
        <v>226258.2</v>
      </c>
      <c r="S51" s="82">
        <f t="shared" si="12"/>
        <v>225766.2</v>
      </c>
      <c r="T51" s="82">
        <f t="shared" si="12"/>
        <v>224365.2</v>
      </c>
      <c r="U51" s="82">
        <f t="shared" si="12"/>
        <v>224519.2</v>
      </c>
      <c r="W51" s="54">
        <f>U51-F51</f>
        <v>-23233.79999999999</v>
      </c>
      <c r="X51" s="56">
        <f>W51/F51*100</f>
        <v>-9.377807735930539</v>
      </c>
    </row>
    <row r="52" spans="2:24" ht="12" customHeight="1">
      <c r="B52" s="19" t="s">
        <v>238</v>
      </c>
      <c r="F52" s="82">
        <f>SUMIF($D$8:$D$38,"y",F8:F38)-F51</f>
        <v>123472.79999999999</v>
      </c>
      <c r="G52" s="82">
        <f aca="true" t="shared" si="13" ref="G52:U52">SUMIF($D$8:$D$38,"y",G8:G38)-G51</f>
        <v>122597.79999999999</v>
      </c>
      <c r="H52" s="82">
        <f t="shared" si="13"/>
        <v>120769.29999999999</v>
      </c>
      <c r="I52" s="82">
        <f t="shared" si="13"/>
        <v>120334.29999999999</v>
      </c>
      <c r="J52" s="82">
        <f t="shared" si="13"/>
        <v>118647.59999999998</v>
      </c>
      <c r="K52" s="82">
        <f t="shared" si="13"/>
        <v>118295.59999999998</v>
      </c>
      <c r="L52" s="82">
        <f t="shared" si="13"/>
        <v>117653.40000000002</v>
      </c>
      <c r="M52" s="82">
        <f t="shared" si="13"/>
        <v>118242.20000000001</v>
      </c>
      <c r="N52" s="82">
        <f t="shared" si="13"/>
        <v>116335</v>
      </c>
      <c r="O52" s="82">
        <f t="shared" si="13"/>
        <v>114774</v>
      </c>
      <c r="P52" s="82">
        <f t="shared" si="13"/>
        <v>112525.60000000003</v>
      </c>
      <c r="Q52" s="82">
        <f t="shared" si="13"/>
        <v>110146.19999999998</v>
      </c>
      <c r="R52" s="82">
        <f t="shared" si="13"/>
        <v>110857.90000000002</v>
      </c>
      <c r="S52" s="82">
        <f t="shared" si="13"/>
        <v>108624.49999999994</v>
      </c>
      <c r="T52" s="82">
        <f t="shared" si="13"/>
        <v>107261.40000000002</v>
      </c>
      <c r="U52" s="82">
        <f t="shared" si="13"/>
        <v>107483.19999999995</v>
      </c>
      <c r="W52" s="54">
        <f>U52-F52</f>
        <v>-15989.600000000035</v>
      </c>
      <c r="X52" s="56">
        <f>W52/F52*100</f>
        <v>-12.949896657401498</v>
      </c>
    </row>
  </sheetData>
  <sheetProtection/>
  <conditionalFormatting sqref="F45:U45">
    <cfRule type="cellIs" priority="2" dxfId="4" operator="notEqual" stopIfTrue="1">
      <formula>1</formula>
    </cfRule>
  </conditionalFormatting>
  <conditionalFormatting sqref="G47:U47">
    <cfRule type="cellIs" priority="1" dxfId="4" operator="not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40"/>
  <sheetViews>
    <sheetView zoomScalePageLayoutView="0" workbookViewId="0" topLeftCell="A1">
      <selection activeCell="U18" sqref="U18"/>
    </sheetView>
  </sheetViews>
  <sheetFormatPr defaultColWidth="9.00390625" defaultRowHeight="12.75"/>
  <cols>
    <col min="1" max="1" width="4.625" style="19" customWidth="1"/>
    <col min="2" max="2" width="10.125" style="19" customWidth="1"/>
    <col min="3" max="19" width="6.25390625" style="19" customWidth="1"/>
    <col min="20" max="20" width="16.125" style="19" customWidth="1"/>
    <col min="21" max="21" width="6.50390625" style="20" customWidth="1"/>
    <col min="22" max="22" width="5.75390625" style="19" customWidth="1"/>
    <col min="23" max="23" width="11.625" style="19" customWidth="1"/>
    <col min="24" max="16384" width="9.00390625" style="19" customWidth="1"/>
  </cols>
  <sheetData>
    <row r="1" ht="15">
      <c r="A1" s="28" t="s">
        <v>171</v>
      </c>
    </row>
    <row r="2" ht="11.25">
      <c r="B2" s="19" t="s">
        <v>95</v>
      </c>
    </row>
    <row r="3" spans="2:14" ht="11.25">
      <c r="B3" s="22" t="s">
        <v>164</v>
      </c>
      <c r="G3" s="60" t="s">
        <v>252</v>
      </c>
      <c r="H3" s="60"/>
      <c r="I3" s="60"/>
      <c r="J3" s="60"/>
      <c r="K3" s="60"/>
      <c r="L3" s="60"/>
      <c r="M3" s="60"/>
      <c r="N3" s="60"/>
    </row>
    <row r="4" spans="2:14" ht="11.25">
      <c r="B4" s="96" t="s">
        <v>239</v>
      </c>
      <c r="H4" s="102"/>
      <c r="I4" s="102"/>
      <c r="J4" s="102"/>
      <c r="K4" s="102"/>
      <c r="L4" s="102"/>
      <c r="M4" s="102"/>
      <c r="N4" s="102"/>
    </row>
    <row r="6" spans="20:24" ht="11.25">
      <c r="T6" s="37" t="s">
        <v>159</v>
      </c>
      <c r="U6" s="19"/>
      <c r="W6" s="105" t="s">
        <v>161</v>
      </c>
      <c r="X6" s="107"/>
    </row>
    <row r="7" spans="3:24" s="21" customFormat="1" ht="11.25">
      <c r="C7" s="29">
        <v>1990</v>
      </c>
      <c r="D7" s="29">
        <v>1991</v>
      </c>
      <c r="E7" s="29">
        <v>1992</v>
      </c>
      <c r="F7" s="29">
        <v>1993</v>
      </c>
      <c r="G7" s="29">
        <v>1994</v>
      </c>
      <c r="H7" s="29">
        <v>1995</v>
      </c>
      <c r="I7" s="29">
        <v>1996</v>
      </c>
      <c r="J7" s="29">
        <v>1997</v>
      </c>
      <c r="K7" s="29">
        <v>1998</v>
      </c>
      <c r="L7" s="29">
        <v>1999</v>
      </c>
      <c r="M7" s="29">
        <v>2000</v>
      </c>
      <c r="N7" s="29">
        <v>2001</v>
      </c>
      <c r="O7" s="29">
        <v>2002</v>
      </c>
      <c r="P7" s="29">
        <v>2003</v>
      </c>
      <c r="Q7" s="29">
        <v>2004</v>
      </c>
      <c r="R7" s="29">
        <v>2005</v>
      </c>
      <c r="S7" s="19"/>
      <c r="T7" s="37" t="s">
        <v>160</v>
      </c>
      <c r="U7" s="45" t="s">
        <v>111</v>
      </c>
      <c r="W7" s="105" t="s">
        <v>246</v>
      </c>
      <c r="X7" s="45" t="s">
        <v>111</v>
      </c>
    </row>
    <row r="8" spans="1:24" ht="11.25">
      <c r="A8" s="30" t="s">
        <v>20</v>
      </c>
      <c r="B8" s="19" t="s">
        <v>21</v>
      </c>
      <c r="C8" s="39">
        <v>351</v>
      </c>
      <c r="D8" s="39">
        <v>351</v>
      </c>
      <c r="E8" s="39">
        <v>351</v>
      </c>
      <c r="F8" s="39">
        <v>351</v>
      </c>
      <c r="G8" s="39">
        <v>351</v>
      </c>
      <c r="H8" s="39">
        <v>351</v>
      </c>
      <c r="I8" s="39">
        <v>351</v>
      </c>
      <c r="J8" s="39">
        <v>351</v>
      </c>
      <c r="K8" s="39">
        <v>351</v>
      </c>
      <c r="L8" s="39">
        <v>351</v>
      </c>
      <c r="M8" s="39">
        <v>351</v>
      </c>
      <c r="N8" s="39">
        <v>351</v>
      </c>
      <c r="O8" s="39">
        <v>351</v>
      </c>
      <c r="P8" s="39">
        <v>351</v>
      </c>
      <c r="Q8" s="39">
        <v>351</v>
      </c>
      <c r="R8" s="39">
        <v>351</v>
      </c>
      <c r="S8" s="39"/>
      <c r="T8" s="57">
        <f>R8-C8</f>
        <v>0</v>
      </c>
      <c r="U8" s="48">
        <f>T8/C8*100</f>
        <v>0</v>
      </c>
      <c r="W8" s="108">
        <f>R8-H8</f>
        <v>0</v>
      </c>
      <c r="X8" s="109">
        <f>W8/H8*100</f>
        <v>0</v>
      </c>
    </row>
    <row r="9" spans="1:24" ht="11.25">
      <c r="A9" s="30" t="s">
        <v>23</v>
      </c>
      <c r="B9" s="19" t="s">
        <v>24</v>
      </c>
      <c r="C9" s="39">
        <v>1515</v>
      </c>
      <c r="D9" s="39">
        <v>1513</v>
      </c>
      <c r="E9" s="39">
        <v>1513</v>
      </c>
      <c r="F9" s="39">
        <v>1513</v>
      </c>
      <c r="G9" s="40">
        <v>1513</v>
      </c>
      <c r="H9" s="39">
        <v>1540</v>
      </c>
      <c r="I9" s="40">
        <v>1540</v>
      </c>
      <c r="J9" s="40">
        <v>1540</v>
      </c>
      <c r="K9" s="39">
        <v>1534</v>
      </c>
      <c r="L9" s="39">
        <v>1534</v>
      </c>
      <c r="M9" s="39">
        <v>1534</v>
      </c>
      <c r="N9" s="39">
        <v>1527</v>
      </c>
      <c r="O9" s="39">
        <v>1527</v>
      </c>
      <c r="P9" s="39">
        <v>1516</v>
      </c>
      <c r="Q9" s="39">
        <v>1516</v>
      </c>
      <c r="R9" s="39">
        <v>1516</v>
      </c>
      <c r="S9" s="39"/>
      <c r="T9" s="57">
        <f aca="true" t="shared" si="0" ref="T9:T30">R9-C9</f>
        <v>1</v>
      </c>
      <c r="U9" s="48">
        <f aca="true" t="shared" si="1" ref="U9:U24">T9/C9*100</f>
        <v>0.066006600660066</v>
      </c>
      <c r="W9" s="108">
        <f aca="true" t="shared" si="2" ref="W9:W26">R9-H9</f>
        <v>-24</v>
      </c>
      <c r="X9" s="109">
        <f aca="true" t="shared" si="3" ref="X9:X30">W9/H9*100</f>
        <v>-1.5584415584415585</v>
      </c>
    </row>
    <row r="10" spans="1:24" ht="11.25">
      <c r="A10" s="30" t="s">
        <v>25</v>
      </c>
      <c r="B10" s="19" t="s">
        <v>26</v>
      </c>
      <c r="C10" s="39">
        <v>470</v>
      </c>
      <c r="D10" s="39">
        <v>470</v>
      </c>
      <c r="E10" s="39">
        <v>470</v>
      </c>
      <c r="F10" s="39">
        <v>470</v>
      </c>
      <c r="G10" s="39">
        <v>470</v>
      </c>
      <c r="H10" s="39">
        <v>470</v>
      </c>
      <c r="I10" s="39">
        <v>470</v>
      </c>
      <c r="J10" s="39">
        <v>470</v>
      </c>
      <c r="K10" s="39">
        <v>470</v>
      </c>
      <c r="L10" s="39">
        <v>470</v>
      </c>
      <c r="M10" s="39">
        <v>470</v>
      </c>
      <c r="N10" s="39">
        <v>470</v>
      </c>
      <c r="O10" s="39">
        <v>470</v>
      </c>
      <c r="P10" s="39">
        <v>470</v>
      </c>
      <c r="Q10" s="39">
        <v>470</v>
      </c>
      <c r="R10" s="39">
        <v>470</v>
      </c>
      <c r="S10" s="39"/>
      <c r="T10" s="57">
        <f t="shared" si="0"/>
        <v>0</v>
      </c>
      <c r="U10" s="48">
        <f t="shared" si="1"/>
        <v>0</v>
      </c>
      <c r="W10" s="108">
        <f t="shared" si="2"/>
        <v>0</v>
      </c>
      <c r="X10" s="109">
        <f t="shared" si="3"/>
        <v>0</v>
      </c>
    </row>
    <row r="11" spans="1:24" ht="11.25">
      <c r="A11" s="30" t="s">
        <v>29</v>
      </c>
      <c r="B11" s="19" t="s">
        <v>30</v>
      </c>
      <c r="C11" s="40">
        <v>508.15</v>
      </c>
      <c r="D11" s="40">
        <v>508.15</v>
      </c>
      <c r="E11" s="40">
        <v>508.15</v>
      </c>
      <c r="F11" s="39">
        <v>508.15</v>
      </c>
      <c r="G11" s="39">
        <v>508.15</v>
      </c>
      <c r="H11" s="39">
        <v>676.95</v>
      </c>
      <c r="I11" s="39">
        <v>676.95</v>
      </c>
      <c r="J11" s="39">
        <v>677</v>
      </c>
      <c r="K11" s="39">
        <v>663.6</v>
      </c>
      <c r="L11" s="39">
        <v>663.6</v>
      </c>
      <c r="M11" s="39">
        <v>663.6</v>
      </c>
      <c r="N11" s="39">
        <v>663.6</v>
      </c>
      <c r="O11" s="39">
        <v>663.6</v>
      </c>
      <c r="P11" s="39">
        <v>663.6</v>
      </c>
      <c r="Q11" s="39">
        <v>663.6</v>
      </c>
      <c r="R11" s="39">
        <v>663.6</v>
      </c>
      <c r="S11" s="39"/>
      <c r="T11" s="57">
        <f t="shared" si="0"/>
        <v>155.45000000000005</v>
      </c>
      <c r="U11" s="48">
        <f t="shared" si="1"/>
        <v>30.59136081865592</v>
      </c>
      <c r="W11" s="108">
        <f t="shared" si="2"/>
        <v>-13.350000000000023</v>
      </c>
      <c r="X11" s="109">
        <f t="shared" si="3"/>
        <v>-1.972080655883008</v>
      </c>
    </row>
    <row r="12" spans="1:24" ht="11.25">
      <c r="A12" s="30" t="s">
        <v>35</v>
      </c>
      <c r="B12" s="19" t="s">
        <v>36</v>
      </c>
      <c r="C12" s="40">
        <v>1640</v>
      </c>
      <c r="D12" s="40">
        <v>1640</v>
      </c>
      <c r="E12" s="39">
        <v>1640</v>
      </c>
      <c r="F12" s="39">
        <v>1640</v>
      </c>
      <c r="G12" s="39">
        <v>1640</v>
      </c>
      <c r="H12" s="39">
        <v>520</v>
      </c>
      <c r="I12" s="39">
        <v>520</v>
      </c>
      <c r="J12" s="39">
        <v>320</v>
      </c>
      <c r="K12" s="39">
        <v>320</v>
      </c>
      <c r="L12" s="39">
        <v>320</v>
      </c>
      <c r="M12" s="39">
        <v>320</v>
      </c>
      <c r="N12" s="39">
        <v>320</v>
      </c>
      <c r="O12" s="39">
        <v>320</v>
      </c>
      <c r="P12" s="39">
        <v>320</v>
      </c>
      <c r="Q12" s="39">
        <v>320</v>
      </c>
      <c r="R12" s="39">
        <v>320</v>
      </c>
      <c r="S12" s="39"/>
      <c r="T12" s="57">
        <f t="shared" si="0"/>
        <v>-1320</v>
      </c>
      <c r="U12" s="48">
        <f>T12/C12*100</f>
        <v>-80.48780487804879</v>
      </c>
      <c r="W12" s="108">
        <f t="shared" si="2"/>
        <v>-200</v>
      </c>
      <c r="X12" s="109">
        <f t="shared" si="3"/>
        <v>-38.46153846153847</v>
      </c>
    </row>
    <row r="13" spans="1:24" ht="11.25">
      <c r="A13" s="30" t="s">
        <v>41</v>
      </c>
      <c r="B13" s="19" t="s">
        <v>42</v>
      </c>
      <c r="C13" s="39">
        <v>6072</v>
      </c>
      <c r="D13" s="39">
        <v>6072</v>
      </c>
      <c r="E13" s="39">
        <v>6072</v>
      </c>
      <c r="F13" s="39">
        <v>6120</v>
      </c>
      <c r="G13" s="39">
        <v>6120</v>
      </c>
      <c r="H13" s="39">
        <v>6120</v>
      </c>
      <c r="I13" s="39">
        <v>6120</v>
      </c>
      <c r="J13" s="39">
        <v>6245</v>
      </c>
      <c r="K13" s="39">
        <v>7787</v>
      </c>
      <c r="L13" s="39">
        <v>7842</v>
      </c>
      <c r="M13" s="39">
        <v>7842</v>
      </c>
      <c r="N13" s="39">
        <v>7872</v>
      </c>
      <c r="O13" s="39">
        <v>7872</v>
      </c>
      <c r="P13" s="39">
        <v>7884</v>
      </c>
      <c r="Q13" s="39">
        <v>8018</v>
      </c>
      <c r="R13" s="39">
        <v>8029</v>
      </c>
      <c r="S13" s="39"/>
      <c r="T13" s="57">
        <f t="shared" si="0"/>
        <v>1957</v>
      </c>
      <c r="U13" s="48">
        <f t="shared" si="1"/>
        <v>32.22990777338603</v>
      </c>
      <c r="W13" s="108">
        <f t="shared" si="2"/>
        <v>1909</v>
      </c>
      <c r="X13" s="109">
        <f t="shared" si="3"/>
        <v>31.19281045751634</v>
      </c>
    </row>
    <row r="14" spans="1:24" ht="11.25">
      <c r="A14" s="30" t="s">
        <v>43</v>
      </c>
      <c r="B14" s="19" t="s">
        <v>44</v>
      </c>
      <c r="C14" s="40">
        <v>5951</v>
      </c>
      <c r="D14" s="39">
        <v>5951</v>
      </c>
      <c r="E14" s="39">
        <v>5867</v>
      </c>
      <c r="F14" s="39">
        <v>5822</v>
      </c>
      <c r="G14" s="39">
        <v>5736</v>
      </c>
      <c r="H14" s="39">
        <v>5962</v>
      </c>
      <c r="I14" s="39">
        <v>5678</v>
      </c>
      <c r="J14" s="39">
        <v>6051</v>
      </c>
      <c r="K14" s="39">
        <v>5732</v>
      </c>
      <c r="L14" s="39">
        <v>5576</v>
      </c>
      <c r="M14" s="39">
        <v>5789</v>
      </c>
      <c r="N14" s="39">
        <v>5378</v>
      </c>
      <c r="O14" s="39">
        <v>5637</v>
      </c>
      <c r="P14" s="39">
        <v>5384</v>
      </c>
      <c r="Q14" s="39">
        <v>5372</v>
      </c>
      <c r="R14" s="39">
        <v>5788</v>
      </c>
      <c r="S14" s="39"/>
      <c r="T14" s="57">
        <f t="shared" si="0"/>
        <v>-163</v>
      </c>
      <c r="U14" s="48">
        <f t="shared" si="1"/>
        <v>-2.7390354562258445</v>
      </c>
      <c r="W14" s="108">
        <f t="shared" si="2"/>
        <v>-174</v>
      </c>
      <c r="X14" s="109">
        <f t="shared" si="3"/>
        <v>-2.9184837302918485</v>
      </c>
    </row>
    <row r="15" spans="1:24" ht="11.25">
      <c r="A15" s="30" t="s">
        <v>31</v>
      </c>
      <c r="B15" s="19" t="s">
        <v>168</v>
      </c>
      <c r="C15" s="39">
        <v>4350</v>
      </c>
      <c r="D15" s="39">
        <v>6781</v>
      </c>
      <c r="E15" s="39">
        <v>6616</v>
      </c>
      <c r="F15" s="39">
        <v>6902</v>
      </c>
      <c r="G15" s="39">
        <v>6958</v>
      </c>
      <c r="H15" s="39">
        <v>6663</v>
      </c>
      <c r="I15" s="39">
        <v>6760</v>
      </c>
      <c r="J15" s="39">
        <v>6673</v>
      </c>
      <c r="K15" s="39">
        <v>6740</v>
      </c>
      <c r="L15" s="39">
        <v>6754</v>
      </c>
      <c r="M15" s="39">
        <v>6754</v>
      </c>
      <c r="N15" s="39">
        <v>6687</v>
      </c>
      <c r="O15" s="39">
        <v>6642</v>
      </c>
      <c r="P15" s="39">
        <v>6636</v>
      </c>
      <c r="Q15" s="39">
        <v>7565</v>
      </c>
      <c r="R15" s="39">
        <v>7565</v>
      </c>
      <c r="S15" s="39"/>
      <c r="T15" s="57">
        <f t="shared" si="0"/>
        <v>3215</v>
      </c>
      <c r="U15" s="48">
        <f t="shared" si="1"/>
        <v>73.9080459770115</v>
      </c>
      <c r="W15" s="108">
        <f t="shared" si="2"/>
        <v>902</v>
      </c>
      <c r="X15" s="109">
        <f t="shared" si="3"/>
        <v>13.537445595077294</v>
      </c>
    </row>
    <row r="16" spans="1:24" ht="11.25">
      <c r="A16" s="30" t="s">
        <v>47</v>
      </c>
      <c r="B16" s="19" t="s">
        <v>48</v>
      </c>
      <c r="C16" s="39">
        <v>1373</v>
      </c>
      <c r="D16" s="39">
        <v>1373</v>
      </c>
      <c r="E16" s="39">
        <v>1373</v>
      </c>
      <c r="F16" s="39">
        <v>1373</v>
      </c>
      <c r="G16" s="39">
        <v>1373</v>
      </c>
      <c r="H16" s="39">
        <v>1373</v>
      </c>
      <c r="I16" s="39">
        <v>1373</v>
      </c>
      <c r="J16" s="39">
        <v>1373</v>
      </c>
      <c r="K16" s="39">
        <v>1373</v>
      </c>
      <c r="L16" s="39">
        <v>1373</v>
      </c>
      <c r="M16" s="39">
        <v>1373</v>
      </c>
      <c r="N16" s="39">
        <v>1484</v>
      </c>
      <c r="O16" s="39">
        <v>1439.5</v>
      </c>
      <c r="P16" s="39">
        <v>1440</v>
      </c>
      <c r="Q16" s="39">
        <v>1439</v>
      </c>
      <c r="R16" s="39">
        <v>1587</v>
      </c>
      <c r="S16" s="39"/>
      <c r="T16" s="57">
        <f t="shared" si="0"/>
        <v>214</v>
      </c>
      <c r="U16" s="48">
        <f t="shared" si="1"/>
        <v>15.586307356154405</v>
      </c>
      <c r="W16" s="108">
        <f t="shared" si="2"/>
        <v>214</v>
      </c>
      <c r="X16" s="109">
        <f t="shared" si="3"/>
        <v>15.586307356154405</v>
      </c>
    </row>
    <row r="17" spans="1:24" ht="11.25">
      <c r="A17" s="30" t="s">
        <v>53</v>
      </c>
      <c r="B17" s="19" t="s">
        <v>54</v>
      </c>
      <c r="C17" s="40">
        <v>1466</v>
      </c>
      <c r="D17" s="40">
        <v>1466</v>
      </c>
      <c r="E17" s="39">
        <v>1466</v>
      </c>
      <c r="F17" s="39">
        <v>1466</v>
      </c>
      <c r="G17" s="39">
        <v>1466</v>
      </c>
      <c r="H17" s="40">
        <v>1460</v>
      </c>
      <c r="I17" s="39">
        <v>1460</v>
      </c>
      <c r="J17" s="39">
        <v>1463</v>
      </c>
      <c r="K17" s="39">
        <v>1477</v>
      </c>
      <c r="L17" s="39">
        <v>1477</v>
      </c>
      <c r="M17" s="39">
        <v>1477</v>
      </c>
      <c r="N17" s="39">
        <v>1477</v>
      </c>
      <c r="O17" s="39">
        <v>1477</v>
      </c>
      <c r="P17" s="40">
        <v>1477</v>
      </c>
      <c r="Q17" s="40">
        <v>1477</v>
      </c>
      <c r="R17" s="40">
        <v>1477</v>
      </c>
      <c r="S17" s="40"/>
      <c r="T17" s="57">
        <f t="shared" si="0"/>
        <v>11</v>
      </c>
      <c r="U17" s="48">
        <f t="shared" si="1"/>
        <v>0.7503410641200546</v>
      </c>
      <c r="W17" s="108">
        <f t="shared" si="2"/>
        <v>17</v>
      </c>
      <c r="X17" s="109">
        <f t="shared" si="3"/>
        <v>1.1643835616438356</v>
      </c>
    </row>
    <row r="18" spans="1:24" ht="11.25">
      <c r="A18" s="30" t="s">
        <v>59</v>
      </c>
      <c r="B18" s="19" t="s">
        <v>60</v>
      </c>
      <c r="C18" s="39">
        <v>347</v>
      </c>
      <c r="D18" s="39">
        <v>347</v>
      </c>
      <c r="E18" s="39">
        <v>347</v>
      </c>
      <c r="F18" s="39">
        <v>106</v>
      </c>
      <c r="G18" s="39">
        <v>106</v>
      </c>
      <c r="H18" s="95">
        <f>G18</f>
        <v>106</v>
      </c>
      <c r="I18" s="95">
        <f aca="true" t="shared" si="4" ref="I18:Q18">H18</f>
        <v>106</v>
      </c>
      <c r="J18" s="95">
        <f t="shared" si="4"/>
        <v>106</v>
      </c>
      <c r="K18" s="95">
        <f t="shared" si="4"/>
        <v>106</v>
      </c>
      <c r="L18" s="95">
        <f t="shared" si="4"/>
        <v>106</v>
      </c>
      <c r="M18" s="95">
        <f t="shared" si="4"/>
        <v>106</v>
      </c>
      <c r="N18" s="95">
        <f t="shared" si="4"/>
        <v>106</v>
      </c>
      <c r="O18" s="95">
        <f t="shared" si="4"/>
        <v>106</v>
      </c>
      <c r="P18" s="95">
        <f t="shared" si="4"/>
        <v>106</v>
      </c>
      <c r="Q18" s="95">
        <f t="shared" si="4"/>
        <v>106</v>
      </c>
      <c r="R18" s="95">
        <f>Q18</f>
        <v>106</v>
      </c>
      <c r="S18" s="40"/>
      <c r="T18" s="57">
        <f>R18-C18</f>
        <v>-241</v>
      </c>
      <c r="U18" s="48">
        <f t="shared" si="1"/>
        <v>-69.45244956772333</v>
      </c>
      <c r="W18" s="108">
        <f t="shared" si="2"/>
        <v>0</v>
      </c>
      <c r="X18" s="109">
        <f t="shared" si="3"/>
        <v>0</v>
      </c>
    </row>
    <row r="19" spans="1:24" ht="11.25">
      <c r="A19" s="30" t="s">
        <v>55</v>
      </c>
      <c r="B19" s="19" t="s">
        <v>87</v>
      </c>
      <c r="C19" s="39">
        <v>369</v>
      </c>
      <c r="D19" s="39">
        <v>369</v>
      </c>
      <c r="E19" s="39">
        <v>369</v>
      </c>
      <c r="F19" s="39">
        <v>369</v>
      </c>
      <c r="G19" s="39">
        <v>369</v>
      </c>
      <c r="H19" s="39">
        <v>369</v>
      </c>
      <c r="I19" s="39">
        <v>369</v>
      </c>
      <c r="J19" s="39">
        <v>369</v>
      </c>
      <c r="K19" s="39">
        <v>369</v>
      </c>
      <c r="L19" s="39">
        <v>369</v>
      </c>
      <c r="M19" s="39">
        <v>379.7</v>
      </c>
      <c r="N19" s="39">
        <v>281</v>
      </c>
      <c r="O19" s="39">
        <v>281</v>
      </c>
      <c r="P19" s="39">
        <v>290</v>
      </c>
      <c r="Q19" s="39">
        <v>290</v>
      </c>
      <c r="R19" s="39">
        <v>290</v>
      </c>
      <c r="S19" s="39"/>
      <c r="T19" s="57">
        <f t="shared" si="0"/>
        <v>-79</v>
      </c>
      <c r="U19" s="48">
        <f t="shared" si="1"/>
        <v>-21.40921409214092</v>
      </c>
      <c r="W19" s="108">
        <f t="shared" si="2"/>
        <v>-79</v>
      </c>
      <c r="X19" s="109">
        <f t="shared" si="3"/>
        <v>-21.40921409214092</v>
      </c>
    </row>
    <row r="20" spans="1:24" ht="11.25">
      <c r="A20" s="30" t="s">
        <v>57</v>
      </c>
      <c r="B20" s="19" t="s">
        <v>97</v>
      </c>
      <c r="C20" s="39"/>
      <c r="D20" s="39"/>
      <c r="E20" s="39"/>
      <c r="F20" s="39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57"/>
      <c r="U20" s="48"/>
      <c r="W20" s="108"/>
      <c r="X20" s="109"/>
    </row>
    <row r="21" spans="1:24" ht="11.25">
      <c r="A21" s="30" t="s">
        <v>63</v>
      </c>
      <c r="B21" s="19" t="s">
        <v>64</v>
      </c>
      <c r="C21" s="39">
        <v>5046</v>
      </c>
      <c r="D21" s="40">
        <v>5046</v>
      </c>
      <c r="E21" s="40">
        <v>5046</v>
      </c>
      <c r="F21" s="40">
        <v>5046</v>
      </c>
      <c r="G21" s="40">
        <v>5046</v>
      </c>
      <c r="H21" s="40">
        <v>5046</v>
      </c>
      <c r="I21" s="40">
        <v>5046</v>
      </c>
      <c r="J21" s="40">
        <v>5046</v>
      </c>
      <c r="K21" s="40">
        <v>5046</v>
      </c>
      <c r="L21" s="40">
        <v>5046</v>
      </c>
      <c r="M21" s="40">
        <v>5046</v>
      </c>
      <c r="N21" s="40">
        <v>5046</v>
      </c>
      <c r="O21" s="40">
        <v>5046</v>
      </c>
      <c r="P21" s="40">
        <v>5046</v>
      </c>
      <c r="Q21" s="39">
        <v>6595</v>
      </c>
      <c r="R21" s="40">
        <v>6595</v>
      </c>
      <c r="S21" s="40"/>
      <c r="T21" s="57">
        <f t="shared" si="0"/>
        <v>1549</v>
      </c>
      <c r="U21" s="48">
        <f t="shared" si="1"/>
        <v>30.697582243361076</v>
      </c>
      <c r="W21" s="108">
        <f t="shared" si="2"/>
        <v>1549</v>
      </c>
      <c r="X21" s="109">
        <f t="shared" si="3"/>
        <v>30.697582243361076</v>
      </c>
    </row>
    <row r="22" spans="1:24" ht="11.25">
      <c r="A22" s="30" t="s">
        <v>67</v>
      </c>
      <c r="B22" s="19" t="s">
        <v>68</v>
      </c>
      <c r="C22" s="39">
        <v>3997</v>
      </c>
      <c r="D22" s="39">
        <v>3997</v>
      </c>
      <c r="E22" s="39">
        <v>3997</v>
      </c>
      <c r="F22" s="39">
        <v>3997</v>
      </c>
      <c r="G22" s="39">
        <v>3980</v>
      </c>
      <c r="H22" s="39">
        <v>3980</v>
      </c>
      <c r="I22" s="39">
        <v>3812</v>
      </c>
      <c r="J22" s="39">
        <v>3812</v>
      </c>
      <c r="K22" s="39">
        <v>3812</v>
      </c>
      <c r="L22" s="39">
        <v>3813</v>
      </c>
      <c r="M22" s="39">
        <v>3813</v>
      </c>
      <c r="N22" s="39">
        <v>3812</v>
      </c>
      <c r="O22" s="39">
        <v>3640</v>
      </c>
      <c r="P22" s="39">
        <v>3643</v>
      </c>
      <c r="Q22" s="39">
        <v>3638</v>
      </c>
      <c r="R22" s="39">
        <v>3638</v>
      </c>
      <c r="S22" s="39"/>
      <c r="T22" s="57">
        <f t="shared" si="0"/>
        <v>-359</v>
      </c>
      <c r="U22" s="48">
        <f t="shared" si="1"/>
        <v>-8.98173630222667</v>
      </c>
      <c r="W22" s="108">
        <f t="shared" si="2"/>
        <v>-342</v>
      </c>
      <c r="X22" s="109">
        <f t="shared" si="3"/>
        <v>-8.592964824120603</v>
      </c>
    </row>
    <row r="23" spans="1:24" ht="11.25">
      <c r="A23" s="30" t="s">
        <v>71</v>
      </c>
      <c r="B23" s="19" t="s">
        <v>72</v>
      </c>
      <c r="C23" s="39">
        <v>1782</v>
      </c>
      <c r="D23" s="39">
        <v>1779</v>
      </c>
      <c r="E23" s="39">
        <v>1779</v>
      </c>
      <c r="F23" s="39">
        <v>1779</v>
      </c>
      <c r="G23" s="39">
        <v>1779</v>
      </c>
      <c r="H23" s="39">
        <v>1779</v>
      </c>
      <c r="I23" s="39">
        <v>1779</v>
      </c>
      <c r="J23" s="39">
        <v>1779</v>
      </c>
      <c r="K23" s="39">
        <v>1779</v>
      </c>
      <c r="L23" s="39">
        <v>1779</v>
      </c>
      <c r="M23" s="39">
        <v>1779</v>
      </c>
      <c r="N23" s="39">
        <v>1779</v>
      </c>
      <c r="O23" s="39">
        <v>1779</v>
      </c>
      <c r="P23" s="39">
        <v>1779</v>
      </c>
      <c r="Q23" s="39">
        <v>1779</v>
      </c>
      <c r="R23" s="39">
        <v>1779</v>
      </c>
      <c r="S23" s="39"/>
      <c r="T23" s="57">
        <f t="shared" si="0"/>
        <v>-3</v>
      </c>
      <c r="U23" s="48">
        <f t="shared" si="1"/>
        <v>-0.16835016835016833</v>
      </c>
      <c r="W23" s="108">
        <f t="shared" si="2"/>
        <v>0</v>
      </c>
      <c r="X23" s="109">
        <f t="shared" si="3"/>
        <v>0</v>
      </c>
    </row>
    <row r="24" spans="1:24" ht="11.25">
      <c r="A24" s="30" t="s">
        <v>77</v>
      </c>
      <c r="B24" s="19" t="s">
        <v>78</v>
      </c>
      <c r="C24" s="39">
        <v>2379</v>
      </c>
      <c r="D24" s="39">
        <v>2379</v>
      </c>
      <c r="E24" s="39">
        <v>2379</v>
      </c>
      <c r="F24" s="39">
        <v>172</v>
      </c>
      <c r="G24" s="39">
        <v>172</v>
      </c>
      <c r="H24" s="39">
        <v>172</v>
      </c>
      <c r="I24" s="39">
        <v>172</v>
      </c>
      <c r="J24" s="39">
        <v>172</v>
      </c>
      <c r="K24" s="39">
        <v>172</v>
      </c>
      <c r="L24" s="39">
        <v>172</v>
      </c>
      <c r="M24" s="39">
        <v>172</v>
      </c>
      <c r="N24" s="39">
        <v>172</v>
      </c>
      <c r="O24" s="39">
        <v>172</v>
      </c>
      <c r="P24" s="39">
        <v>172</v>
      </c>
      <c r="Q24" s="39">
        <v>172</v>
      </c>
      <c r="R24" s="39">
        <v>172</v>
      </c>
      <c r="S24" s="39"/>
      <c r="T24" s="57">
        <f t="shared" si="0"/>
        <v>-2207</v>
      </c>
      <c r="U24" s="48">
        <f t="shared" si="1"/>
        <v>-92.77007145859605</v>
      </c>
      <c r="W24" s="108">
        <f t="shared" si="2"/>
        <v>0</v>
      </c>
      <c r="X24" s="109">
        <f t="shared" si="3"/>
        <v>0</v>
      </c>
    </row>
    <row r="25" spans="1:24" ht="11.25">
      <c r="A25" s="30" t="s">
        <v>154</v>
      </c>
      <c r="B25" s="19" t="s">
        <v>91</v>
      </c>
      <c r="C25" s="39">
        <v>21</v>
      </c>
      <c r="D25" s="39">
        <v>21</v>
      </c>
      <c r="E25" s="39">
        <v>21</v>
      </c>
      <c r="F25" s="39">
        <v>21</v>
      </c>
      <c r="G25" s="39">
        <v>21</v>
      </c>
      <c r="H25" s="101">
        <f>G25</f>
        <v>21</v>
      </c>
      <c r="I25" s="101">
        <f aca="true" t="shared" si="5" ref="I25:R25">H25</f>
        <v>21</v>
      </c>
      <c r="J25" s="101">
        <f t="shared" si="5"/>
        <v>21</v>
      </c>
      <c r="K25" s="101">
        <f t="shared" si="5"/>
        <v>21</v>
      </c>
      <c r="L25" s="101">
        <f t="shared" si="5"/>
        <v>21</v>
      </c>
      <c r="M25" s="101">
        <f t="shared" si="5"/>
        <v>21</v>
      </c>
      <c r="N25" s="101">
        <f t="shared" si="5"/>
        <v>21</v>
      </c>
      <c r="O25" s="101">
        <f t="shared" si="5"/>
        <v>21</v>
      </c>
      <c r="P25" s="101">
        <f t="shared" si="5"/>
        <v>21</v>
      </c>
      <c r="Q25" s="101">
        <f t="shared" si="5"/>
        <v>21</v>
      </c>
      <c r="R25" s="101">
        <f t="shared" si="5"/>
        <v>21</v>
      </c>
      <c r="S25" s="40"/>
      <c r="T25" s="57">
        <v>0</v>
      </c>
      <c r="U25" s="48">
        <f>T25/C25*100</f>
        <v>0</v>
      </c>
      <c r="W25" s="108">
        <f t="shared" si="2"/>
        <v>0</v>
      </c>
      <c r="X25" s="109">
        <f t="shared" si="3"/>
        <v>0</v>
      </c>
    </row>
    <row r="26" spans="1:24" ht="11.25">
      <c r="A26" s="30" t="s">
        <v>81</v>
      </c>
      <c r="B26" s="19" t="s">
        <v>82</v>
      </c>
      <c r="C26" s="40">
        <v>1192</v>
      </c>
      <c r="D26" s="40">
        <v>1192</v>
      </c>
      <c r="E26" s="40">
        <v>1192</v>
      </c>
      <c r="F26" s="40">
        <v>1192</v>
      </c>
      <c r="G26" s="39">
        <v>1192</v>
      </c>
      <c r="H26" s="39">
        <v>1153</v>
      </c>
      <c r="I26" s="39">
        <v>1153</v>
      </c>
      <c r="J26" s="39">
        <v>1153</v>
      </c>
      <c r="K26" s="39">
        <v>1153</v>
      </c>
      <c r="L26" s="39">
        <v>1153</v>
      </c>
      <c r="M26" s="39">
        <v>1153</v>
      </c>
      <c r="N26" s="39">
        <v>1153</v>
      </c>
      <c r="O26" s="39">
        <v>1065</v>
      </c>
      <c r="P26" s="39">
        <v>1065</v>
      </c>
      <c r="Q26" s="39">
        <v>1065</v>
      </c>
      <c r="R26" s="39">
        <v>1065</v>
      </c>
      <c r="S26" s="39"/>
      <c r="T26" s="57">
        <f t="shared" si="0"/>
        <v>-127</v>
      </c>
      <c r="U26" s="48">
        <f>T26/C26*100</f>
        <v>-10.654362416107382</v>
      </c>
      <c r="W26" s="108">
        <f t="shared" si="2"/>
        <v>-88</v>
      </c>
      <c r="X26" s="109">
        <f t="shared" si="3"/>
        <v>-7.632263660017347</v>
      </c>
    </row>
    <row r="27" spans="1:24" ht="11.25">
      <c r="A27" s="30"/>
      <c r="C27" s="40"/>
      <c r="D27" s="40"/>
      <c r="E27" s="40"/>
      <c r="F27" s="4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57"/>
      <c r="U27" s="48"/>
      <c r="X27" s="100"/>
    </row>
    <row r="28" spans="1:24" ht="11.25">
      <c r="A28" s="30"/>
      <c r="B28" s="19" t="s">
        <v>234</v>
      </c>
      <c r="C28" s="97">
        <f>COUNT(C8:C26)</f>
        <v>18</v>
      </c>
      <c r="D28" s="97">
        <f aca="true" t="shared" si="6" ref="D28:R28">COUNT(D8:D26)</f>
        <v>18</v>
      </c>
      <c r="E28" s="97">
        <f t="shared" si="6"/>
        <v>18</v>
      </c>
      <c r="F28" s="97">
        <f t="shared" si="6"/>
        <v>18</v>
      </c>
      <c r="G28" s="97">
        <f t="shared" si="6"/>
        <v>18</v>
      </c>
      <c r="H28" s="97">
        <f t="shared" si="6"/>
        <v>18</v>
      </c>
      <c r="I28" s="97">
        <f t="shared" si="6"/>
        <v>18</v>
      </c>
      <c r="J28" s="97">
        <f t="shared" si="6"/>
        <v>18</v>
      </c>
      <c r="K28" s="97">
        <f t="shared" si="6"/>
        <v>18</v>
      </c>
      <c r="L28" s="97">
        <f t="shared" si="6"/>
        <v>18</v>
      </c>
      <c r="M28" s="97">
        <f t="shared" si="6"/>
        <v>18</v>
      </c>
      <c r="N28" s="97">
        <f t="shared" si="6"/>
        <v>18</v>
      </c>
      <c r="O28" s="97">
        <f t="shared" si="6"/>
        <v>18</v>
      </c>
      <c r="P28" s="97">
        <f t="shared" si="6"/>
        <v>18</v>
      </c>
      <c r="Q28" s="97">
        <f t="shared" si="6"/>
        <v>18</v>
      </c>
      <c r="R28" s="97">
        <f t="shared" si="6"/>
        <v>18</v>
      </c>
      <c r="S28" s="39"/>
      <c r="T28" s="57"/>
      <c r="U28" s="48"/>
      <c r="X28" s="100"/>
    </row>
    <row r="29" spans="1:24" ht="11.25">
      <c r="A29" s="30"/>
      <c r="C29" s="40"/>
      <c r="D29" s="40"/>
      <c r="E29" s="40"/>
      <c r="F29" s="40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57"/>
      <c r="U29" s="48"/>
      <c r="X29" s="100"/>
    </row>
    <row r="30" spans="2:24" s="24" customFormat="1" ht="11.25">
      <c r="B30" s="31" t="s">
        <v>155</v>
      </c>
      <c r="C30" s="34">
        <f>SUM(C8:C26)</f>
        <v>38829.15</v>
      </c>
      <c r="D30" s="34">
        <f aca="true" t="shared" si="7" ref="D30:R30">SUM(D8:D26)</f>
        <v>41255.15</v>
      </c>
      <c r="E30" s="34">
        <f t="shared" si="7"/>
        <v>41006.15</v>
      </c>
      <c r="F30" s="34">
        <f t="shared" si="7"/>
        <v>38847.15</v>
      </c>
      <c r="G30" s="34">
        <f t="shared" si="7"/>
        <v>38800.15</v>
      </c>
      <c r="H30" s="34">
        <f t="shared" si="7"/>
        <v>37761.95</v>
      </c>
      <c r="I30" s="34">
        <f t="shared" si="7"/>
        <v>37406.95</v>
      </c>
      <c r="J30" s="34">
        <f t="shared" si="7"/>
        <v>37621</v>
      </c>
      <c r="K30" s="34">
        <f t="shared" si="7"/>
        <v>38905.6</v>
      </c>
      <c r="L30" s="34">
        <f t="shared" si="7"/>
        <v>38819.6</v>
      </c>
      <c r="M30" s="34">
        <f t="shared" si="7"/>
        <v>39043.3</v>
      </c>
      <c r="N30" s="34">
        <f t="shared" si="7"/>
        <v>38599.6</v>
      </c>
      <c r="O30" s="34">
        <f t="shared" si="7"/>
        <v>38509.1</v>
      </c>
      <c r="P30" s="34">
        <f t="shared" si="7"/>
        <v>38263.6</v>
      </c>
      <c r="Q30" s="34">
        <f t="shared" si="7"/>
        <v>40857.6</v>
      </c>
      <c r="R30" s="34">
        <f t="shared" si="7"/>
        <v>41432.6</v>
      </c>
      <c r="S30" s="34"/>
      <c r="T30" s="55">
        <f t="shared" si="0"/>
        <v>2603.449999999997</v>
      </c>
      <c r="U30" s="56">
        <f>T30/C30*100</f>
        <v>6.70488537606411</v>
      </c>
      <c r="W30" s="110">
        <f>R30-H30</f>
        <v>3670.6500000000015</v>
      </c>
      <c r="X30" s="106">
        <f t="shared" si="3"/>
        <v>9.720499073803133</v>
      </c>
    </row>
    <row r="31" spans="1:19" s="20" customFormat="1" ht="11.25">
      <c r="A31" s="30"/>
      <c r="B31" s="53" t="s">
        <v>156</v>
      </c>
      <c r="C31" s="34">
        <v>100</v>
      </c>
      <c r="D31" s="34">
        <f>100*D30/C30</f>
        <v>106.24788335567479</v>
      </c>
      <c r="E31" s="34">
        <f>100*E30/C30</f>
        <v>105.60661255783349</v>
      </c>
      <c r="F31" s="34">
        <f>100*F30/C30</f>
        <v>100.04635692514515</v>
      </c>
      <c r="G31" s="34">
        <f>100*G30/C30</f>
        <v>99.9253138428217</v>
      </c>
      <c r="H31" s="34">
        <f>100*H30/C30</f>
        <v>97.25154941583834</v>
      </c>
      <c r="I31" s="34">
        <f>100*I30/C30</f>
        <v>96.33728783658667</v>
      </c>
      <c r="J31" s="34">
        <f>100*J30/C30</f>
        <v>96.88854893810449</v>
      </c>
      <c r="K31" s="34">
        <f>100*K30/C30</f>
        <v>100.19688816263039</v>
      </c>
      <c r="L31" s="34">
        <f>100*L30/C30</f>
        <v>99.97540507582576</v>
      </c>
      <c r="M31" s="34">
        <f>100*M30/C30</f>
        <v>100.55151863999085</v>
      </c>
      <c r="N31" s="34">
        <f>100*N30/C30</f>
        <v>99.40882043516275</v>
      </c>
      <c r="O31" s="34">
        <f>100*O30/C30</f>
        <v>99.17574811707183</v>
      </c>
      <c r="P31" s="34">
        <f>100*P30/C30</f>
        <v>98.54349116578652</v>
      </c>
      <c r="Q31" s="34">
        <f>100*Q30/C30</f>
        <v>105.22403915614943</v>
      </c>
      <c r="R31" s="34">
        <f>100*R30/C30</f>
        <v>106.70488537606411</v>
      </c>
      <c r="S31" s="34"/>
    </row>
    <row r="32" ht="11.25">
      <c r="B32" s="33"/>
    </row>
    <row r="33" spans="1:18" ht="11.25">
      <c r="A33" s="30"/>
      <c r="B33" s="19" t="s">
        <v>243</v>
      </c>
      <c r="D33" s="92">
        <f>((SUM(D8:D26)/SUM($C$8:$C$26))*100)/D31</f>
        <v>1</v>
      </c>
      <c r="E33" s="92">
        <f aca="true" t="shared" si="8" ref="E33:R33">((SUM(E8:E26)/SUM($C$8:$C$26))*100)/E31</f>
        <v>0.9999999999999999</v>
      </c>
      <c r="F33" s="92">
        <f t="shared" si="8"/>
        <v>1.0000000000000002</v>
      </c>
      <c r="G33" s="92">
        <f t="shared" si="8"/>
        <v>1</v>
      </c>
      <c r="H33" s="92">
        <f t="shared" si="8"/>
        <v>1</v>
      </c>
      <c r="I33" s="92">
        <f t="shared" si="8"/>
        <v>1.0000000000000002</v>
      </c>
      <c r="J33" s="92">
        <f t="shared" si="8"/>
        <v>1</v>
      </c>
      <c r="K33" s="92">
        <f t="shared" si="8"/>
        <v>1</v>
      </c>
      <c r="L33" s="92">
        <f t="shared" si="8"/>
        <v>1</v>
      </c>
      <c r="M33" s="92">
        <f t="shared" si="8"/>
        <v>0.9999999999999999</v>
      </c>
      <c r="N33" s="92">
        <f t="shared" si="8"/>
        <v>1</v>
      </c>
      <c r="O33" s="92">
        <f t="shared" si="8"/>
        <v>1</v>
      </c>
      <c r="P33" s="92">
        <f t="shared" si="8"/>
        <v>1</v>
      </c>
      <c r="Q33" s="92">
        <f t="shared" si="8"/>
        <v>1.0000000000000002</v>
      </c>
      <c r="R33" s="92">
        <f t="shared" si="8"/>
        <v>1</v>
      </c>
    </row>
    <row r="34" ht="11.25">
      <c r="U34" s="20">
        <f>MIN(U8:U26)</f>
        <v>-92.77007145859605</v>
      </c>
    </row>
    <row r="35" s="22" customFormat="1" ht="11.25">
      <c r="U35" s="27"/>
    </row>
    <row r="36" ht="11.25">
      <c r="A36" s="22" t="s">
        <v>248</v>
      </c>
    </row>
    <row r="37" spans="1:18" ht="11.25">
      <c r="A37" s="30" t="s">
        <v>57</v>
      </c>
      <c r="B37" s="19" t="s">
        <v>97</v>
      </c>
      <c r="C37" s="39">
        <v>37</v>
      </c>
      <c r="D37" s="39">
        <v>37</v>
      </c>
      <c r="E37" s="39">
        <v>37</v>
      </c>
      <c r="F37" s="39">
        <v>37</v>
      </c>
      <c r="G37" s="39">
        <v>37</v>
      </c>
      <c r="H37" s="40">
        <v>37</v>
      </c>
      <c r="I37" s="40">
        <v>37</v>
      </c>
      <c r="J37" s="40">
        <v>37</v>
      </c>
      <c r="K37" s="40">
        <v>37</v>
      </c>
      <c r="L37" s="40">
        <v>37</v>
      </c>
      <c r="M37" s="40">
        <v>37</v>
      </c>
      <c r="N37" s="40">
        <v>37</v>
      </c>
      <c r="O37" s="40">
        <v>37</v>
      </c>
      <c r="P37" s="40">
        <v>37</v>
      </c>
      <c r="Q37" s="40">
        <v>37</v>
      </c>
      <c r="R37" s="40">
        <v>37</v>
      </c>
    </row>
    <row r="38" ht="11.25">
      <c r="A38" s="30"/>
    </row>
    <row r="40" ht="11.25">
      <c r="A4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5"/>
  <sheetViews>
    <sheetView zoomScalePageLayoutView="0" workbookViewId="0" topLeftCell="A1">
      <selection activeCell="P40" sqref="P40"/>
    </sheetView>
  </sheetViews>
  <sheetFormatPr defaultColWidth="9.00390625" defaultRowHeight="12" customHeight="1"/>
  <cols>
    <col min="1" max="1" width="4.625" style="19" customWidth="1"/>
    <col min="2" max="2" width="21.875" style="19" customWidth="1"/>
    <col min="3" max="24" width="5.25390625" style="19" customWidth="1"/>
    <col min="25" max="25" width="6.625" style="19" customWidth="1"/>
    <col min="26" max="26" width="18.50390625" style="19" customWidth="1"/>
    <col min="27" max="27" width="3.875" style="19" customWidth="1"/>
    <col min="28" max="28" width="6.125" style="19" customWidth="1"/>
    <col min="29" max="29" width="14.875" style="19" customWidth="1"/>
    <col min="30" max="16384" width="9.00390625" style="19" customWidth="1"/>
  </cols>
  <sheetData>
    <row r="1" ht="18" customHeight="1">
      <c r="A1" s="28" t="s">
        <v>174</v>
      </c>
    </row>
    <row r="2" ht="12" customHeight="1">
      <c r="B2" s="19" t="s">
        <v>110</v>
      </c>
    </row>
    <row r="3" spans="2:3" ht="12" customHeight="1">
      <c r="B3" s="19" t="s">
        <v>93</v>
      </c>
      <c r="C3" s="22" t="s">
        <v>164</v>
      </c>
    </row>
    <row r="4" spans="2:3" ht="12" customHeight="1">
      <c r="B4" s="60" t="s">
        <v>132</v>
      </c>
      <c r="C4" s="19" t="s">
        <v>133</v>
      </c>
    </row>
    <row r="5" ht="12" customHeight="1">
      <c r="C5" s="19" t="s">
        <v>253</v>
      </c>
    </row>
    <row r="6" spans="26:30" ht="12" customHeight="1">
      <c r="Z6" s="37" t="s">
        <v>159</v>
      </c>
      <c r="AC6" s="105" t="s">
        <v>161</v>
      </c>
      <c r="AD6" s="107"/>
    </row>
    <row r="7" spans="3:30" s="21" customFormat="1" ht="12" customHeight="1">
      <c r="C7" s="29">
        <v>1970</v>
      </c>
      <c r="D7" s="29">
        <v>1975</v>
      </c>
      <c r="E7" s="29">
        <v>1980</v>
      </c>
      <c r="F7" s="29">
        <v>1985</v>
      </c>
      <c r="G7" s="29">
        <v>1988</v>
      </c>
      <c r="H7" s="29">
        <v>1989</v>
      </c>
      <c r="I7" s="29">
        <v>1990</v>
      </c>
      <c r="J7" s="29">
        <v>1991</v>
      </c>
      <c r="K7" s="29">
        <v>1992</v>
      </c>
      <c r="L7" s="29">
        <v>1993</v>
      </c>
      <c r="M7" s="29">
        <v>1994</v>
      </c>
      <c r="N7" s="29">
        <v>1995</v>
      </c>
      <c r="O7" s="29">
        <v>1996</v>
      </c>
      <c r="P7" s="29">
        <v>1997</v>
      </c>
      <c r="Q7" s="29">
        <v>1998</v>
      </c>
      <c r="R7" s="29">
        <v>1999</v>
      </c>
      <c r="S7" s="29">
        <v>2000</v>
      </c>
      <c r="T7" s="29">
        <v>2001</v>
      </c>
      <c r="U7" s="29">
        <v>2002</v>
      </c>
      <c r="V7" s="29">
        <v>2003</v>
      </c>
      <c r="W7" s="29">
        <v>2004</v>
      </c>
      <c r="X7" s="29">
        <v>2005</v>
      </c>
      <c r="Y7" s="19"/>
      <c r="Z7" s="37" t="s">
        <v>160</v>
      </c>
      <c r="AA7" s="37" t="s">
        <v>111</v>
      </c>
      <c r="AC7" s="105" t="s">
        <v>162</v>
      </c>
      <c r="AD7" s="105" t="s">
        <v>111</v>
      </c>
    </row>
    <row r="8" spans="1:30" ht="12" customHeight="1">
      <c r="A8" s="30" t="s">
        <v>20</v>
      </c>
      <c r="B8" s="19" t="s">
        <v>21</v>
      </c>
      <c r="C8" s="61" t="s">
        <v>85</v>
      </c>
      <c r="D8" s="61" t="s">
        <v>85</v>
      </c>
      <c r="E8" s="61" t="s">
        <v>85</v>
      </c>
      <c r="F8" s="61" t="s">
        <v>85</v>
      </c>
      <c r="G8" s="61" t="s">
        <v>85</v>
      </c>
      <c r="H8" s="61" t="s">
        <v>85</v>
      </c>
      <c r="I8" s="61">
        <v>777</v>
      </c>
      <c r="J8" s="61">
        <v>777</v>
      </c>
      <c r="K8" s="61">
        <v>777</v>
      </c>
      <c r="L8" s="61">
        <v>777</v>
      </c>
      <c r="M8" s="61">
        <v>777</v>
      </c>
      <c r="N8" s="61">
        <v>777</v>
      </c>
      <c r="O8" s="61">
        <v>777</v>
      </c>
      <c r="P8" s="61">
        <v>777</v>
      </c>
      <c r="Q8" s="61">
        <v>777</v>
      </c>
      <c r="R8" s="61">
        <v>777</v>
      </c>
      <c r="S8" s="61">
        <v>777</v>
      </c>
      <c r="T8" s="61">
        <v>777</v>
      </c>
      <c r="U8" s="61">
        <v>777</v>
      </c>
      <c r="V8" s="61">
        <v>777</v>
      </c>
      <c r="W8" s="61">
        <v>777</v>
      </c>
      <c r="X8" s="62">
        <v>777</v>
      </c>
      <c r="Z8" s="64">
        <f>X8-I8</f>
        <v>0</v>
      </c>
      <c r="AA8" s="64">
        <f>Z8/I8*100</f>
        <v>0</v>
      </c>
      <c r="AC8" s="111">
        <f>X8-N8</f>
        <v>0</v>
      </c>
      <c r="AD8" s="19">
        <f>AC8/N8*100</f>
        <v>0</v>
      </c>
    </row>
    <row r="9" spans="1:30" ht="12" customHeight="1">
      <c r="A9" s="30" t="s">
        <v>23</v>
      </c>
      <c r="B9" s="19" t="s">
        <v>24</v>
      </c>
      <c r="C9" s="61">
        <v>52</v>
      </c>
      <c r="D9" s="61">
        <v>317</v>
      </c>
      <c r="E9" s="61">
        <v>458</v>
      </c>
      <c r="F9" s="61">
        <v>147</v>
      </c>
      <c r="G9" s="61" t="s">
        <v>85</v>
      </c>
      <c r="H9" s="61" t="s">
        <v>85</v>
      </c>
      <c r="I9" s="61">
        <v>301</v>
      </c>
      <c r="J9" s="61">
        <v>294</v>
      </c>
      <c r="K9" s="61">
        <v>294</v>
      </c>
      <c r="L9" s="61">
        <v>294</v>
      </c>
      <c r="M9" s="62">
        <v>294</v>
      </c>
      <c r="N9" s="62">
        <v>294</v>
      </c>
      <c r="O9" s="62">
        <v>294</v>
      </c>
      <c r="P9" s="62">
        <v>294</v>
      </c>
      <c r="Q9" s="62">
        <v>294</v>
      </c>
      <c r="R9" s="62">
        <v>294</v>
      </c>
      <c r="S9" s="62">
        <v>294</v>
      </c>
      <c r="T9" s="62">
        <v>294</v>
      </c>
      <c r="U9" s="62">
        <v>294</v>
      </c>
      <c r="V9" s="62">
        <v>294</v>
      </c>
      <c r="W9" s="62">
        <v>294</v>
      </c>
      <c r="X9" s="62">
        <v>294</v>
      </c>
      <c r="Z9" s="64">
        <f aca="true" t="shared" si="0" ref="Z9:Z30">X9-I9</f>
        <v>-7</v>
      </c>
      <c r="AA9" s="64">
        <f aca="true" t="shared" si="1" ref="AA9:AA26">Z9/I9*100</f>
        <v>-2.3255813953488373</v>
      </c>
      <c r="AC9" s="111">
        <f aca="true" t="shared" si="2" ref="AC9:AC26">X9-N9</f>
        <v>0</v>
      </c>
      <c r="AD9" s="19">
        <f aca="true" t="shared" si="3" ref="AD9:AD26">AC9/N9*100</f>
        <v>0</v>
      </c>
    </row>
    <row r="10" spans="1:30" ht="12" customHeight="1">
      <c r="A10" s="30" t="s">
        <v>25</v>
      </c>
      <c r="B10" s="19" t="s">
        <v>26</v>
      </c>
      <c r="C10" s="61" t="s">
        <v>85</v>
      </c>
      <c r="D10" s="61" t="s">
        <v>85</v>
      </c>
      <c r="E10" s="61" t="s">
        <v>85</v>
      </c>
      <c r="F10" s="61" t="s">
        <v>85</v>
      </c>
      <c r="G10" s="61" t="s">
        <v>85</v>
      </c>
      <c r="H10" s="61" t="s">
        <v>85</v>
      </c>
      <c r="I10" s="61">
        <v>578</v>
      </c>
      <c r="J10" s="61">
        <v>578</v>
      </c>
      <c r="K10" s="61">
        <v>578</v>
      </c>
      <c r="L10" s="61">
        <v>578</v>
      </c>
      <c r="M10" s="61">
        <v>578</v>
      </c>
      <c r="N10" s="61">
        <v>578</v>
      </c>
      <c r="O10" s="61">
        <v>578</v>
      </c>
      <c r="P10" s="61">
        <v>578</v>
      </c>
      <c r="Q10" s="61">
        <v>578</v>
      </c>
      <c r="R10" s="61">
        <v>578</v>
      </c>
      <c r="S10" s="61">
        <v>578</v>
      </c>
      <c r="T10" s="61">
        <v>578</v>
      </c>
      <c r="U10" s="61">
        <v>578</v>
      </c>
      <c r="V10" s="61">
        <v>578</v>
      </c>
      <c r="W10" s="61">
        <v>578</v>
      </c>
      <c r="X10" s="61">
        <v>578</v>
      </c>
      <c r="Z10" s="64">
        <f t="shared" si="0"/>
        <v>0</v>
      </c>
      <c r="AA10" s="64">
        <f t="shared" si="1"/>
        <v>0</v>
      </c>
      <c r="AC10" s="111">
        <f t="shared" si="2"/>
        <v>0</v>
      </c>
      <c r="AD10" s="19">
        <f t="shared" si="3"/>
        <v>0</v>
      </c>
    </row>
    <row r="11" spans="1:30" ht="12" customHeight="1">
      <c r="A11" s="30" t="s">
        <v>29</v>
      </c>
      <c r="B11" s="19" t="s">
        <v>30</v>
      </c>
      <c r="C11" s="61" t="s">
        <v>85</v>
      </c>
      <c r="D11" s="61" t="s">
        <v>85</v>
      </c>
      <c r="E11" s="61" t="s">
        <v>85</v>
      </c>
      <c r="F11" s="61" t="s">
        <v>85</v>
      </c>
      <c r="G11" s="61" t="s">
        <v>85</v>
      </c>
      <c r="H11" s="61" t="s">
        <v>85</v>
      </c>
      <c r="I11" s="62">
        <v>581</v>
      </c>
      <c r="J11" s="62">
        <v>581</v>
      </c>
      <c r="K11" s="62">
        <v>581</v>
      </c>
      <c r="L11" s="61">
        <v>581</v>
      </c>
      <c r="M11" s="61">
        <v>581</v>
      </c>
      <c r="N11" s="61">
        <v>581</v>
      </c>
      <c r="O11" s="61">
        <v>736</v>
      </c>
      <c r="P11" s="61">
        <v>736</v>
      </c>
      <c r="Q11" s="61">
        <v>736</v>
      </c>
      <c r="R11" s="61">
        <v>736</v>
      </c>
      <c r="S11" s="61">
        <v>675</v>
      </c>
      <c r="T11" s="61">
        <v>675</v>
      </c>
      <c r="U11" s="61">
        <v>675</v>
      </c>
      <c r="V11" s="61">
        <v>675</v>
      </c>
      <c r="W11" s="61">
        <v>675</v>
      </c>
      <c r="X11" s="61">
        <v>675</v>
      </c>
      <c r="Z11" s="64">
        <f t="shared" si="0"/>
        <v>94</v>
      </c>
      <c r="AA11" s="64">
        <f t="shared" si="1"/>
        <v>16.179001721170398</v>
      </c>
      <c r="AC11" s="111">
        <f t="shared" si="2"/>
        <v>94</v>
      </c>
      <c r="AD11" s="112">
        <f t="shared" si="3"/>
        <v>16.179001721170398</v>
      </c>
    </row>
    <row r="12" spans="1:30" ht="12" customHeight="1">
      <c r="A12" s="30" t="s">
        <v>33</v>
      </c>
      <c r="B12" s="19" t="s">
        <v>34</v>
      </c>
      <c r="C12" s="61" t="s">
        <v>85</v>
      </c>
      <c r="D12" s="61" t="s">
        <v>85</v>
      </c>
      <c r="E12" s="61">
        <v>0</v>
      </c>
      <c r="F12" s="61">
        <v>413</v>
      </c>
      <c r="G12" s="61" t="s">
        <v>85</v>
      </c>
      <c r="H12" s="61" t="s">
        <v>85</v>
      </c>
      <c r="I12" s="61">
        <v>444</v>
      </c>
      <c r="J12" s="61">
        <v>444</v>
      </c>
      <c r="K12" s="61">
        <v>409</v>
      </c>
      <c r="L12" s="61">
        <v>336</v>
      </c>
      <c r="M12" s="61">
        <v>336</v>
      </c>
      <c r="N12" s="61">
        <v>330</v>
      </c>
      <c r="O12" s="61">
        <v>330</v>
      </c>
      <c r="P12" s="61">
        <v>330</v>
      </c>
      <c r="Q12" s="61">
        <v>330</v>
      </c>
      <c r="R12" s="61">
        <v>330</v>
      </c>
      <c r="S12" s="61">
        <v>330</v>
      </c>
      <c r="T12" s="61">
        <v>330</v>
      </c>
      <c r="U12" s="61">
        <v>330</v>
      </c>
      <c r="V12" s="62">
        <v>330</v>
      </c>
      <c r="W12" s="62">
        <v>330</v>
      </c>
      <c r="X12" s="62">
        <v>330</v>
      </c>
      <c r="Z12" s="64">
        <f t="shared" si="0"/>
        <v>-114</v>
      </c>
      <c r="AA12" s="64">
        <f t="shared" si="1"/>
        <v>-25.675675675675674</v>
      </c>
      <c r="AC12" s="111">
        <f t="shared" si="2"/>
        <v>0</v>
      </c>
      <c r="AD12" s="19">
        <f t="shared" si="3"/>
        <v>0</v>
      </c>
    </row>
    <row r="13" spans="1:30" ht="12" customHeight="1">
      <c r="A13" s="30" t="s">
        <v>43</v>
      </c>
      <c r="B13" s="19" t="s">
        <v>44</v>
      </c>
      <c r="C13" s="61">
        <v>3609</v>
      </c>
      <c r="D13" s="61">
        <v>5213</v>
      </c>
      <c r="E13" s="61">
        <v>5254</v>
      </c>
      <c r="F13" s="61">
        <v>5101</v>
      </c>
      <c r="G13" s="61" t="s">
        <v>85</v>
      </c>
      <c r="H13" s="61" t="s">
        <v>85</v>
      </c>
      <c r="I13" s="61">
        <v>4948</v>
      </c>
      <c r="J13" s="61">
        <v>4871</v>
      </c>
      <c r="K13" s="61">
        <v>4871</v>
      </c>
      <c r="L13" s="61">
        <v>4830</v>
      </c>
      <c r="M13" s="61">
        <v>4830</v>
      </c>
      <c r="N13" s="61">
        <v>4983</v>
      </c>
      <c r="O13" s="61">
        <v>4983</v>
      </c>
      <c r="P13" s="61">
        <v>5746</v>
      </c>
      <c r="Q13" s="61">
        <v>5746</v>
      </c>
      <c r="R13" s="61">
        <v>5746</v>
      </c>
      <c r="S13" s="61">
        <v>5746</v>
      </c>
      <c r="T13" s="61">
        <v>5746</v>
      </c>
      <c r="U13" s="61">
        <v>5746</v>
      </c>
      <c r="V13" s="61">
        <v>5746</v>
      </c>
      <c r="W13" s="61">
        <v>5746</v>
      </c>
      <c r="X13" s="61">
        <v>5746</v>
      </c>
      <c r="Z13" s="64">
        <f t="shared" si="0"/>
        <v>798</v>
      </c>
      <c r="AA13" s="64">
        <f t="shared" si="1"/>
        <v>16.12772837510105</v>
      </c>
      <c r="AC13" s="111">
        <f t="shared" si="2"/>
        <v>763</v>
      </c>
      <c r="AD13" s="112">
        <f t="shared" si="3"/>
        <v>15.312061007425246</v>
      </c>
    </row>
    <row r="14" spans="1:30" ht="12" customHeight="1">
      <c r="A14" s="30" t="s">
        <v>31</v>
      </c>
      <c r="B14" s="19" t="s">
        <v>168</v>
      </c>
      <c r="C14" s="61">
        <v>2058</v>
      </c>
      <c r="D14" s="61">
        <v>2086</v>
      </c>
      <c r="E14" s="61">
        <v>2222</v>
      </c>
      <c r="F14" s="61">
        <v>2222</v>
      </c>
      <c r="G14" s="61" t="s">
        <v>85</v>
      </c>
      <c r="H14" s="61" t="s">
        <v>85</v>
      </c>
      <c r="I14" s="61">
        <v>2222</v>
      </c>
      <c r="J14" s="61">
        <v>3318</v>
      </c>
      <c r="K14" s="61">
        <v>3318</v>
      </c>
      <c r="L14" s="61">
        <v>3318</v>
      </c>
      <c r="M14" s="61">
        <v>2460</v>
      </c>
      <c r="N14" s="61">
        <v>2460</v>
      </c>
      <c r="O14" s="61">
        <v>2460</v>
      </c>
      <c r="P14" s="61">
        <v>2460</v>
      </c>
      <c r="Q14" s="61">
        <v>2370</v>
      </c>
      <c r="R14" s="61">
        <v>2370</v>
      </c>
      <c r="S14" s="61">
        <v>2370</v>
      </c>
      <c r="T14" s="61">
        <v>2370</v>
      </c>
      <c r="U14" s="61">
        <v>2370</v>
      </c>
      <c r="V14" s="61">
        <v>2370</v>
      </c>
      <c r="W14" s="61">
        <v>2370</v>
      </c>
      <c r="X14" s="61">
        <v>2370</v>
      </c>
      <c r="Z14" s="64">
        <f t="shared" si="0"/>
        <v>148</v>
      </c>
      <c r="AA14" s="64">
        <f t="shared" si="1"/>
        <v>6.660666066606661</v>
      </c>
      <c r="AC14" s="111">
        <f t="shared" si="2"/>
        <v>-90</v>
      </c>
      <c r="AD14" s="112">
        <f t="shared" si="3"/>
        <v>-3.6585365853658534</v>
      </c>
    </row>
    <row r="15" spans="1:30" ht="12" customHeight="1">
      <c r="A15" s="30" t="s">
        <v>47</v>
      </c>
      <c r="B15" s="19" t="s">
        <v>48</v>
      </c>
      <c r="C15" s="61" t="s">
        <v>85</v>
      </c>
      <c r="D15" s="61">
        <v>985</v>
      </c>
      <c r="E15" s="61">
        <v>1067</v>
      </c>
      <c r="F15" s="61">
        <v>1204</v>
      </c>
      <c r="G15" s="61">
        <v>1204</v>
      </c>
      <c r="H15" s="61">
        <v>1204</v>
      </c>
      <c r="I15" s="61">
        <v>2574</v>
      </c>
      <c r="J15" s="61">
        <v>2574</v>
      </c>
      <c r="K15" s="61">
        <v>2483</v>
      </c>
      <c r="L15" s="61">
        <v>2071</v>
      </c>
      <c r="M15" s="61">
        <v>2071</v>
      </c>
      <c r="N15" s="61">
        <v>2071</v>
      </c>
      <c r="O15" s="61">
        <v>2071</v>
      </c>
      <c r="P15" s="61">
        <v>848</v>
      </c>
      <c r="Q15" s="61">
        <v>848</v>
      </c>
      <c r="R15" s="61">
        <v>2041</v>
      </c>
      <c r="S15" s="61">
        <v>2043</v>
      </c>
      <c r="T15" s="61">
        <v>2047</v>
      </c>
      <c r="U15" s="61">
        <v>2047</v>
      </c>
      <c r="V15" s="61">
        <v>2047</v>
      </c>
      <c r="W15" s="61">
        <v>2047</v>
      </c>
      <c r="X15" s="61">
        <v>2047</v>
      </c>
      <c r="Z15" s="64">
        <f t="shared" si="0"/>
        <v>-527</v>
      </c>
      <c r="AA15" s="64">
        <f t="shared" si="1"/>
        <v>-20.473970473970475</v>
      </c>
      <c r="AC15" s="111">
        <f t="shared" si="2"/>
        <v>-24</v>
      </c>
      <c r="AD15" s="112">
        <f t="shared" si="3"/>
        <v>-1.158860453887011</v>
      </c>
    </row>
    <row r="16" spans="1:30" ht="12" customHeight="1">
      <c r="A16" s="30" t="s">
        <v>53</v>
      </c>
      <c r="B16" s="19" t="s">
        <v>54</v>
      </c>
      <c r="C16" s="61">
        <v>1939</v>
      </c>
      <c r="D16" s="61">
        <v>2505</v>
      </c>
      <c r="E16" s="61">
        <v>3069</v>
      </c>
      <c r="F16" s="61">
        <v>4062</v>
      </c>
      <c r="G16" s="61" t="s">
        <v>85</v>
      </c>
      <c r="H16" s="61" t="s">
        <v>85</v>
      </c>
      <c r="I16" s="61">
        <v>4086</v>
      </c>
      <c r="J16" s="61">
        <v>4098</v>
      </c>
      <c r="K16" s="61">
        <v>4235</v>
      </c>
      <c r="L16" s="61">
        <v>4235</v>
      </c>
      <c r="M16" s="62">
        <v>4235</v>
      </c>
      <c r="N16" s="61">
        <v>4235</v>
      </c>
      <c r="O16" s="61">
        <v>4233</v>
      </c>
      <c r="P16" s="61">
        <v>4145</v>
      </c>
      <c r="Q16" s="61">
        <v>4331</v>
      </c>
      <c r="R16" s="61">
        <v>4364</v>
      </c>
      <c r="S16" s="61">
        <v>4346</v>
      </c>
      <c r="T16" s="61">
        <v>4358</v>
      </c>
      <c r="U16" s="61">
        <v>4379</v>
      </c>
      <c r="V16" s="62">
        <v>4379</v>
      </c>
      <c r="W16" s="62">
        <v>4379</v>
      </c>
      <c r="X16" s="62">
        <v>4379</v>
      </c>
      <c r="Z16" s="64">
        <f t="shared" si="0"/>
        <v>293</v>
      </c>
      <c r="AA16" s="64">
        <f t="shared" si="1"/>
        <v>7.170827214880078</v>
      </c>
      <c r="AC16" s="111">
        <f t="shared" si="2"/>
        <v>144</v>
      </c>
      <c r="AD16" s="112">
        <f t="shared" si="3"/>
        <v>3.400236127508855</v>
      </c>
    </row>
    <row r="17" spans="1:30" ht="12" customHeight="1">
      <c r="A17" s="30" t="s">
        <v>59</v>
      </c>
      <c r="B17" s="19" t="s">
        <v>60</v>
      </c>
      <c r="C17" s="61" t="s">
        <v>85</v>
      </c>
      <c r="D17" s="61">
        <v>635</v>
      </c>
      <c r="E17" s="61">
        <v>766</v>
      </c>
      <c r="F17" s="61">
        <v>766</v>
      </c>
      <c r="G17" s="61">
        <v>766</v>
      </c>
      <c r="H17" s="61">
        <v>766</v>
      </c>
      <c r="I17" s="61">
        <v>766</v>
      </c>
      <c r="J17" s="61">
        <v>766</v>
      </c>
      <c r="K17" s="61">
        <v>766</v>
      </c>
      <c r="L17" s="61">
        <v>755</v>
      </c>
      <c r="M17" s="61">
        <v>766</v>
      </c>
      <c r="N17" s="61">
        <v>766</v>
      </c>
      <c r="O17" s="61">
        <v>766</v>
      </c>
      <c r="P17" s="61">
        <v>766</v>
      </c>
      <c r="Q17" s="61">
        <v>766</v>
      </c>
      <c r="R17" s="61">
        <v>766</v>
      </c>
      <c r="S17" s="61">
        <v>766</v>
      </c>
      <c r="T17" s="61">
        <v>766</v>
      </c>
      <c r="U17" s="61">
        <v>766</v>
      </c>
      <c r="V17" s="61">
        <v>766</v>
      </c>
      <c r="W17" s="61">
        <v>766</v>
      </c>
      <c r="X17" s="61">
        <v>860</v>
      </c>
      <c r="Z17" s="64">
        <f t="shared" si="0"/>
        <v>94</v>
      </c>
      <c r="AA17" s="64">
        <f t="shared" si="1"/>
        <v>12.27154046997389</v>
      </c>
      <c r="AC17" s="111">
        <f t="shared" si="2"/>
        <v>94</v>
      </c>
      <c r="AD17" s="112">
        <f t="shared" si="3"/>
        <v>12.27154046997389</v>
      </c>
    </row>
    <row r="18" spans="1:30" ht="12" customHeight="1">
      <c r="A18" s="30" t="s">
        <v>55</v>
      </c>
      <c r="B18" s="19" t="s">
        <v>87</v>
      </c>
      <c r="C18" s="61" t="s">
        <v>85</v>
      </c>
      <c r="D18" s="61" t="s">
        <v>85</v>
      </c>
      <c r="E18" s="61" t="s">
        <v>85</v>
      </c>
      <c r="F18" s="61" t="s">
        <v>85</v>
      </c>
      <c r="G18" s="61" t="s">
        <v>85</v>
      </c>
      <c r="H18" s="61" t="s">
        <v>85</v>
      </c>
      <c r="I18" s="62">
        <v>313</v>
      </c>
      <c r="J18" s="62">
        <v>313</v>
      </c>
      <c r="K18" s="61">
        <v>313</v>
      </c>
      <c r="L18" s="61">
        <v>313</v>
      </c>
      <c r="M18" s="61">
        <v>400</v>
      </c>
      <c r="N18" s="61">
        <v>400</v>
      </c>
      <c r="O18" s="61">
        <v>399</v>
      </c>
      <c r="P18" s="61">
        <v>399</v>
      </c>
      <c r="Q18" s="61">
        <v>399</v>
      </c>
      <c r="R18" s="61">
        <v>500</v>
      </c>
      <c r="S18" s="61">
        <v>500</v>
      </c>
      <c r="T18" s="61">
        <v>500</v>
      </c>
      <c r="U18" s="61">
        <v>500</v>
      </c>
      <c r="V18" s="61">
        <v>500</v>
      </c>
      <c r="W18" s="61">
        <v>500</v>
      </c>
      <c r="X18" s="61">
        <v>500</v>
      </c>
      <c r="Z18" s="64">
        <f t="shared" si="0"/>
        <v>187</v>
      </c>
      <c r="AA18" s="64">
        <f t="shared" si="1"/>
        <v>59.7444089456869</v>
      </c>
      <c r="AC18" s="111">
        <f t="shared" si="2"/>
        <v>100</v>
      </c>
      <c r="AD18" s="19">
        <f t="shared" si="3"/>
        <v>25</v>
      </c>
    </row>
    <row r="19" spans="1:30" ht="12" customHeight="1">
      <c r="A19" s="30" t="s">
        <v>63</v>
      </c>
      <c r="B19" s="19" t="s">
        <v>64</v>
      </c>
      <c r="C19" s="61">
        <v>323</v>
      </c>
      <c r="D19" s="61">
        <v>391</v>
      </c>
      <c r="E19" s="61">
        <v>391</v>
      </c>
      <c r="F19" s="61">
        <v>391</v>
      </c>
      <c r="G19" s="61" t="s">
        <v>85</v>
      </c>
      <c r="H19" s="61" t="s">
        <v>85</v>
      </c>
      <c r="I19" s="61">
        <v>391</v>
      </c>
      <c r="J19" s="61">
        <v>391</v>
      </c>
      <c r="K19" s="61">
        <v>391</v>
      </c>
      <c r="L19" s="62">
        <v>391</v>
      </c>
      <c r="M19" s="62">
        <v>391</v>
      </c>
      <c r="N19" s="62">
        <v>391</v>
      </c>
      <c r="O19" s="62">
        <v>391</v>
      </c>
      <c r="P19" s="62">
        <v>391</v>
      </c>
      <c r="Q19" s="62">
        <v>391</v>
      </c>
      <c r="R19" s="62">
        <v>391</v>
      </c>
      <c r="S19" s="62">
        <v>391</v>
      </c>
      <c r="T19" s="62">
        <v>391</v>
      </c>
      <c r="U19" s="62">
        <v>391</v>
      </c>
      <c r="V19" s="62">
        <v>391</v>
      </c>
      <c r="W19" s="62">
        <v>391</v>
      </c>
      <c r="X19" s="62">
        <v>391</v>
      </c>
      <c r="Z19" s="64">
        <f t="shared" si="0"/>
        <v>0</v>
      </c>
      <c r="AA19" s="64">
        <f t="shared" si="1"/>
        <v>0</v>
      </c>
      <c r="AC19" s="111">
        <f t="shared" si="2"/>
        <v>0</v>
      </c>
      <c r="AD19" s="19">
        <f t="shared" si="3"/>
        <v>0</v>
      </c>
    </row>
    <row r="20" spans="1:30" ht="12" customHeight="1">
      <c r="A20" s="30" t="s">
        <v>67</v>
      </c>
      <c r="B20" s="19" t="s">
        <v>68</v>
      </c>
      <c r="C20" s="61" t="s">
        <v>85</v>
      </c>
      <c r="D20" s="61">
        <v>1851</v>
      </c>
      <c r="E20" s="61">
        <v>1975</v>
      </c>
      <c r="F20" s="61">
        <v>1986</v>
      </c>
      <c r="G20" s="61">
        <v>2031</v>
      </c>
      <c r="H20" s="61">
        <v>2023</v>
      </c>
      <c r="I20" s="61">
        <v>2039</v>
      </c>
      <c r="J20" s="61">
        <v>2040</v>
      </c>
      <c r="K20" s="61">
        <v>2192</v>
      </c>
      <c r="L20" s="61">
        <v>2192</v>
      </c>
      <c r="M20" s="61">
        <v>2278</v>
      </c>
      <c r="N20" s="61">
        <v>2278</v>
      </c>
      <c r="O20" s="61">
        <v>2278</v>
      </c>
      <c r="P20" s="61">
        <v>2278</v>
      </c>
      <c r="Q20" s="61">
        <v>2278</v>
      </c>
      <c r="R20" s="61">
        <v>2278</v>
      </c>
      <c r="S20" s="61">
        <v>2278</v>
      </c>
      <c r="T20" s="61">
        <v>2285</v>
      </c>
      <c r="U20" s="61">
        <v>2285</v>
      </c>
      <c r="V20" s="61">
        <v>2293</v>
      </c>
      <c r="W20" s="61">
        <v>2278</v>
      </c>
      <c r="X20" s="61">
        <v>2278</v>
      </c>
      <c r="Z20" s="64">
        <f t="shared" si="0"/>
        <v>239</v>
      </c>
      <c r="AA20" s="64">
        <f t="shared" si="1"/>
        <v>11.721432074546346</v>
      </c>
      <c r="AC20" s="111">
        <f t="shared" si="2"/>
        <v>0</v>
      </c>
      <c r="AD20" s="19">
        <f t="shared" si="3"/>
        <v>0</v>
      </c>
    </row>
    <row r="21" spans="1:30" ht="12" customHeight="1">
      <c r="A21" s="30" t="s">
        <v>71</v>
      </c>
      <c r="B21" s="19" t="s">
        <v>72</v>
      </c>
      <c r="C21" s="61" t="s">
        <v>85</v>
      </c>
      <c r="D21" s="61" t="s">
        <v>85</v>
      </c>
      <c r="E21" s="61" t="s">
        <v>85</v>
      </c>
      <c r="F21" s="61" t="s">
        <v>85</v>
      </c>
      <c r="G21" s="61" t="s">
        <v>85</v>
      </c>
      <c r="H21" s="61" t="s">
        <v>85</v>
      </c>
      <c r="I21" s="61">
        <v>3694</v>
      </c>
      <c r="J21" s="61">
        <v>3899</v>
      </c>
      <c r="K21" s="61">
        <v>3899</v>
      </c>
      <c r="L21" s="61">
        <v>3535</v>
      </c>
      <c r="M21" s="61">
        <v>3535</v>
      </c>
      <c r="N21" s="61">
        <v>3546</v>
      </c>
      <c r="O21" s="61">
        <v>3546</v>
      </c>
      <c r="P21" s="61">
        <v>4629</v>
      </c>
      <c r="Q21" s="61">
        <v>4629</v>
      </c>
      <c r="R21" s="61">
        <v>4423</v>
      </c>
      <c r="S21" s="61">
        <v>4423</v>
      </c>
      <c r="T21" s="61">
        <v>4423</v>
      </c>
      <c r="U21" s="61">
        <v>4305</v>
      </c>
      <c r="V21" s="61">
        <v>4305</v>
      </c>
      <c r="W21" s="61">
        <v>4497</v>
      </c>
      <c r="X21" s="61">
        <v>4807</v>
      </c>
      <c r="Z21" s="64">
        <f t="shared" si="0"/>
        <v>1113</v>
      </c>
      <c r="AA21" s="64">
        <f t="shared" si="1"/>
        <v>30.129940443963182</v>
      </c>
      <c r="AC21" s="111">
        <f>X21-N21</f>
        <v>1261</v>
      </c>
      <c r="AD21" s="112">
        <f t="shared" si="3"/>
        <v>35.561195713479975</v>
      </c>
    </row>
    <row r="22" spans="1:30" ht="12" customHeight="1">
      <c r="A22" s="30" t="s">
        <v>77</v>
      </c>
      <c r="B22" s="19" t="s">
        <v>78</v>
      </c>
      <c r="C22" s="61" t="s">
        <v>85</v>
      </c>
      <c r="D22" s="61" t="s">
        <v>85</v>
      </c>
      <c r="E22" s="61" t="s">
        <v>85</v>
      </c>
      <c r="F22" s="61" t="s">
        <v>85</v>
      </c>
      <c r="G22" s="61" t="s">
        <v>85</v>
      </c>
      <c r="H22" s="61" t="s">
        <v>85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1">
        <v>15</v>
      </c>
      <c r="Q22" s="62">
        <v>15</v>
      </c>
      <c r="R22" s="62">
        <v>15</v>
      </c>
      <c r="S22" s="62">
        <v>15</v>
      </c>
      <c r="T22" s="62">
        <v>15</v>
      </c>
      <c r="U22" s="62">
        <v>15</v>
      </c>
      <c r="V22" s="62">
        <v>15</v>
      </c>
      <c r="W22" s="62">
        <v>15</v>
      </c>
      <c r="X22" s="62">
        <v>15</v>
      </c>
      <c r="Z22" s="64">
        <f t="shared" si="0"/>
        <v>15</v>
      </c>
      <c r="AA22" s="64">
        <v>0</v>
      </c>
      <c r="AC22" s="111">
        <f t="shared" si="2"/>
        <v>15</v>
      </c>
      <c r="AD22" s="112"/>
    </row>
    <row r="23" spans="1:30" ht="12" customHeight="1">
      <c r="A23" s="30" t="s">
        <v>39</v>
      </c>
      <c r="B23" s="19" t="s">
        <v>40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2"/>
      <c r="W23" s="62"/>
      <c r="X23" s="61"/>
      <c r="Z23" s="64"/>
      <c r="AA23" s="64"/>
      <c r="AC23" s="111"/>
      <c r="AD23" s="112"/>
    </row>
    <row r="24" spans="1:30" ht="12" customHeight="1">
      <c r="A24" s="30" t="s">
        <v>154</v>
      </c>
      <c r="B24" s="19" t="s">
        <v>91</v>
      </c>
      <c r="C24" s="61" t="s">
        <v>85</v>
      </c>
      <c r="D24" s="61" t="s">
        <v>85</v>
      </c>
      <c r="E24" s="61" t="s">
        <v>85</v>
      </c>
      <c r="F24" s="61" t="s">
        <v>85</v>
      </c>
      <c r="G24" s="61" t="s">
        <v>85</v>
      </c>
      <c r="H24" s="61" t="s">
        <v>85</v>
      </c>
      <c r="I24" s="61">
        <v>239</v>
      </c>
      <c r="J24" s="61">
        <v>239</v>
      </c>
      <c r="K24" s="61">
        <v>239</v>
      </c>
      <c r="L24" s="61">
        <v>239</v>
      </c>
      <c r="M24" s="61">
        <v>239</v>
      </c>
      <c r="N24" s="61">
        <v>239</v>
      </c>
      <c r="O24" s="61">
        <v>239</v>
      </c>
      <c r="P24" s="61">
        <v>108</v>
      </c>
      <c r="Q24" s="61">
        <v>108</v>
      </c>
      <c r="R24" s="61">
        <v>108</v>
      </c>
      <c r="S24" s="61">
        <v>108</v>
      </c>
      <c r="T24" s="61">
        <v>108</v>
      </c>
      <c r="U24" s="61">
        <v>108</v>
      </c>
      <c r="V24" s="61">
        <v>108</v>
      </c>
      <c r="W24" s="61">
        <v>108</v>
      </c>
      <c r="X24" s="62">
        <v>108</v>
      </c>
      <c r="Z24" s="64">
        <f t="shared" si="0"/>
        <v>-131</v>
      </c>
      <c r="AA24" s="64">
        <f t="shared" si="1"/>
        <v>-54.811715481171554</v>
      </c>
      <c r="AC24" s="111">
        <f t="shared" si="2"/>
        <v>-131</v>
      </c>
      <c r="AD24" s="112">
        <f t="shared" si="3"/>
        <v>-54.811715481171554</v>
      </c>
    </row>
    <row r="25" spans="1:30" ht="12" customHeight="1">
      <c r="A25" s="30" t="s">
        <v>79</v>
      </c>
      <c r="B25" s="19" t="s">
        <v>80</v>
      </c>
      <c r="C25" s="61" t="s">
        <v>85</v>
      </c>
      <c r="D25" s="61" t="s">
        <v>85</v>
      </c>
      <c r="E25" s="61" t="s">
        <v>85</v>
      </c>
      <c r="F25" s="61" t="s">
        <v>85</v>
      </c>
      <c r="G25" s="61" t="s">
        <v>85</v>
      </c>
      <c r="H25" s="61" t="s">
        <v>85</v>
      </c>
      <c r="I25" s="62">
        <v>1947</v>
      </c>
      <c r="J25" s="62">
        <v>1947</v>
      </c>
      <c r="K25" s="61">
        <v>1947</v>
      </c>
      <c r="L25" s="61">
        <v>1126</v>
      </c>
      <c r="M25" s="61">
        <v>1126</v>
      </c>
      <c r="N25" s="61">
        <v>1126</v>
      </c>
      <c r="O25" s="61">
        <v>2112</v>
      </c>
      <c r="P25" s="61">
        <v>2112</v>
      </c>
      <c r="Q25" s="61">
        <v>2112</v>
      </c>
      <c r="R25" s="61">
        <v>2112</v>
      </c>
      <c r="S25" s="61">
        <v>2112</v>
      </c>
      <c r="T25" s="61">
        <v>2112</v>
      </c>
      <c r="U25" s="61">
        <v>2112</v>
      </c>
      <c r="V25" s="62">
        <v>2112</v>
      </c>
      <c r="W25" s="62">
        <v>2112</v>
      </c>
      <c r="X25" s="62">
        <v>2112</v>
      </c>
      <c r="Z25" s="64">
        <f t="shared" si="0"/>
        <v>165</v>
      </c>
      <c r="AA25" s="64">
        <f t="shared" si="1"/>
        <v>8.47457627118644</v>
      </c>
      <c r="AC25" s="111">
        <f t="shared" si="2"/>
        <v>986</v>
      </c>
      <c r="AD25" s="112">
        <f t="shared" si="3"/>
        <v>87.56660746003553</v>
      </c>
    </row>
    <row r="26" spans="1:30" ht="12" customHeight="1">
      <c r="A26" s="30" t="s">
        <v>81</v>
      </c>
      <c r="B26" s="19" t="s">
        <v>82</v>
      </c>
      <c r="C26" s="61">
        <v>1634</v>
      </c>
      <c r="D26" s="61">
        <v>2658</v>
      </c>
      <c r="E26" s="61">
        <v>3166</v>
      </c>
      <c r="F26" s="61">
        <v>3423</v>
      </c>
      <c r="G26" s="61" t="s">
        <v>85</v>
      </c>
      <c r="H26" s="61" t="s">
        <v>85</v>
      </c>
      <c r="I26" s="61">
        <v>2462</v>
      </c>
      <c r="J26" s="61">
        <v>2650</v>
      </c>
      <c r="K26" s="61">
        <v>2762</v>
      </c>
      <c r="L26" s="61">
        <v>3086</v>
      </c>
      <c r="M26" s="61">
        <v>2996</v>
      </c>
      <c r="N26" s="61">
        <v>3470</v>
      </c>
      <c r="O26" s="61">
        <v>3459</v>
      </c>
      <c r="P26" s="61">
        <v>3936</v>
      </c>
      <c r="Q26" s="61">
        <v>3953</v>
      </c>
      <c r="R26" s="61">
        <v>3923</v>
      </c>
      <c r="S26" s="61">
        <v>3954</v>
      </c>
      <c r="T26" s="61">
        <v>4368</v>
      </c>
      <c r="U26" s="61">
        <v>4367</v>
      </c>
      <c r="V26" s="61">
        <v>4325</v>
      </c>
      <c r="W26" s="61">
        <v>4405</v>
      </c>
      <c r="X26" s="61">
        <v>4501</v>
      </c>
      <c r="Z26" s="64">
        <f t="shared" si="0"/>
        <v>2039</v>
      </c>
      <c r="AA26" s="64">
        <f t="shared" si="1"/>
        <v>82.81884646628757</v>
      </c>
      <c r="AC26" s="111">
        <f t="shared" si="2"/>
        <v>1031</v>
      </c>
      <c r="AD26" s="112">
        <f t="shared" si="3"/>
        <v>29.711815561959654</v>
      </c>
    </row>
    <row r="27" spans="1:27" ht="12" customHeight="1">
      <c r="A27" s="3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Z27" s="64"/>
      <c r="AA27" s="64"/>
    </row>
    <row r="28" spans="1:27" ht="12" customHeight="1">
      <c r="A28" s="30"/>
      <c r="B28" s="19" t="s">
        <v>234</v>
      </c>
      <c r="C28" s="61"/>
      <c r="D28" s="61"/>
      <c r="E28" s="61"/>
      <c r="F28" s="61"/>
      <c r="G28" s="61"/>
      <c r="H28" s="61"/>
      <c r="I28" s="61">
        <f>COUNT(I8:I26)</f>
        <v>18</v>
      </c>
      <c r="J28" s="61">
        <f aca="true" t="shared" si="4" ref="J28:R28">COUNT(J8:J26)</f>
        <v>18</v>
      </c>
      <c r="K28" s="61">
        <f t="shared" si="4"/>
        <v>18</v>
      </c>
      <c r="L28" s="61">
        <f t="shared" si="4"/>
        <v>18</v>
      </c>
      <c r="M28" s="61">
        <f t="shared" si="4"/>
        <v>18</v>
      </c>
      <c r="N28" s="61">
        <f t="shared" si="4"/>
        <v>18</v>
      </c>
      <c r="O28" s="61">
        <f t="shared" si="4"/>
        <v>18</v>
      </c>
      <c r="P28" s="61">
        <f t="shared" si="4"/>
        <v>18</v>
      </c>
      <c r="Q28" s="61">
        <f t="shared" si="4"/>
        <v>18</v>
      </c>
      <c r="R28" s="61">
        <f t="shared" si="4"/>
        <v>18</v>
      </c>
      <c r="S28" s="61">
        <f aca="true" t="shared" si="5" ref="S28:X28">COUNT(S8:S26)</f>
        <v>18</v>
      </c>
      <c r="T28" s="61">
        <f t="shared" si="5"/>
        <v>18</v>
      </c>
      <c r="U28" s="61">
        <f t="shared" si="5"/>
        <v>18</v>
      </c>
      <c r="V28" s="61">
        <f t="shared" si="5"/>
        <v>18</v>
      </c>
      <c r="W28" s="61">
        <f t="shared" si="5"/>
        <v>18</v>
      </c>
      <c r="X28" s="61">
        <f t="shared" si="5"/>
        <v>18</v>
      </c>
      <c r="Z28" s="64"/>
      <c r="AA28" s="64"/>
    </row>
    <row r="29" spans="1:27" ht="12" customHeight="1">
      <c r="A29" s="3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Z29" s="64"/>
      <c r="AA29" s="64"/>
    </row>
    <row r="30" spans="2:30" s="21" customFormat="1" ht="12" customHeight="1">
      <c r="B30" s="31" t="s">
        <v>155</v>
      </c>
      <c r="C30" s="63"/>
      <c r="D30" s="63"/>
      <c r="E30" s="63"/>
      <c r="F30" s="63"/>
      <c r="G30" s="63"/>
      <c r="H30" s="63"/>
      <c r="I30" s="65">
        <f aca="true" t="shared" si="6" ref="I30:N30">SUM(I8:I26)</f>
        <v>28362</v>
      </c>
      <c r="J30" s="65">
        <f t="shared" si="6"/>
        <v>29780</v>
      </c>
      <c r="K30" s="65">
        <f t="shared" si="6"/>
        <v>30055</v>
      </c>
      <c r="L30" s="65">
        <f t="shared" si="6"/>
        <v>28657</v>
      </c>
      <c r="M30" s="65">
        <f t="shared" si="6"/>
        <v>27893</v>
      </c>
      <c r="N30" s="65">
        <f t="shared" si="6"/>
        <v>28525</v>
      </c>
      <c r="O30" s="65">
        <f aca="true" t="shared" si="7" ref="O30:X30">SUM(O8:O26)</f>
        <v>29652</v>
      </c>
      <c r="P30" s="65">
        <f t="shared" si="7"/>
        <v>30548</v>
      </c>
      <c r="Q30" s="65">
        <f t="shared" si="7"/>
        <v>30661</v>
      </c>
      <c r="R30" s="65">
        <f t="shared" si="7"/>
        <v>31752</v>
      </c>
      <c r="S30" s="65">
        <f t="shared" si="7"/>
        <v>31706</v>
      </c>
      <c r="T30" s="65">
        <f t="shared" si="7"/>
        <v>32143</v>
      </c>
      <c r="U30" s="65">
        <f t="shared" si="7"/>
        <v>32045</v>
      </c>
      <c r="V30" s="65">
        <f t="shared" si="7"/>
        <v>32011</v>
      </c>
      <c r="W30" s="65">
        <f t="shared" si="7"/>
        <v>32268</v>
      </c>
      <c r="X30" s="65">
        <f t="shared" si="7"/>
        <v>32768</v>
      </c>
      <c r="Y30" s="32"/>
      <c r="Z30" s="66">
        <f t="shared" si="0"/>
        <v>4406</v>
      </c>
      <c r="AA30" s="66">
        <f>Z30/I30*100</f>
        <v>15.534870601509063</v>
      </c>
      <c r="AC30" s="113">
        <f>X30-N30</f>
        <v>4243</v>
      </c>
      <c r="AD30" s="25">
        <f>AC30/N30*100</f>
        <v>14.87467134092901</v>
      </c>
    </row>
    <row r="31" spans="2:27" s="25" customFormat="1" ht="12" customHeight="1">
      <c r="B31" s="53" t="s">
        <v>156</v>
      </c>
      <c r="C31" s="63"/>
      <c r="D31" s="63"/>
      <c r="E31" s="63"/>
      <c r="F31" s="63"/>
      <c r="G31" s="63"/>
      <c r="H31" s="63"/>
      <c r="I31" s="65">
        <v>100</v>
      </c>
      <c r="J31" s="65">
        <f>100*J30/I30</f>
        <v>104.99964741555603</v>
      </c>
      <c r="K31" s="65">
        <f>100*K30/I30</f>
        <v>105.96925463648545</v>
      </c>
      <c r="L31" s="65">
        <f>100*L30/I30</f>
        <v>101.04012410972427</v>
      </c>
      <c r="M31" s="65">
        <f>100*M30/I30</f>
        <v>98.34637895776038</v>
      </c>
      <c r="N31" s="65">
        <f>100*N30/I30</f>
        <v>100.57471264367815</v>
      </c>
      <c r="O31" s="65">
        <f>100*O30/I30</f>
        <v>104.54833932726888</v>
      </c>
      <c r="P31" s="65">
        <f>100*P30/I30</f>
        <v>107.7074959452789</v>
      </c>
      <c r="Q31" s="65">
        <f>100*Q30/I30</f>
        <v>108.1059163669699</v>
      </c>
      <c r="R31" s="65">
        <f>100*R30/I30</f>
        <v>111.95261265072985</v>
      </c>
      <c r="S31" s="65">
        <f>100*S30/I30</f>
        <v>111.79042380650166</v>
      </c>
      <c r="T31" s="65">
        <f>100*T30/I30</f>
        <v>113.33121782666949</v>
      </c>
      <c r="U31" s="65">
        <f>100*U30/I30</f>
        <v>112.98568507157464</v>
      </c>
      <c r="V31" s="65">
        <f>100*V30/I30</f>
        <v>112.86580636062337</v>
      </c>
      <c r="W31" s="65">
        <f>100*W30/I30</f>
        <v>113.7719483816374</v>
      </c>
      <c r="X31" s="65">
        <f>100*X30/I30</f>
        <v>115.53487060150906</v>
      </c>
      <c r="Y31" s="32"/>
      <c r="Z31" s="66"/>
      <c r="AA31" s="66"/>
    </row>
    <row r="32" spans="26:27" ht="12" customHeight="1">
      <c r="Z32" s="64"/>
      <c r="AA32" s="64"/>
    </row>
    <row r="33" spans="26:27" ht="12" customHeight="1">
      <c r="Z33" s="64"/>
      <c r="AA33" s="64"/>
    </row>
    <row r="34" spans="1:27" ht="12" customHeight="1">
      <c r="A34" s="30" t="s">
        <v>65</v>
      </c>
      <c r="B34" s="19" t="s">
        <v>66</v>
      </c>
      <c r="C34" s="19" t="s">
        <v>85</v>
      </c>
      <c r="D34" s="19" t="s">
        <v>85</v>
      </c>
      <c r="E34" s="19" t="s">
        <v>85</v>
      </c>
      <c r="F34" s="19" t="s">
        <v>85</v>
      </c>
      <c r="G34" s="19" t="s">
        <v>85</v>
      </c>
      <c r="H34" s="19" t="s">
        <v>85</v>
      </c>
      <c r="I34" s="22">
        <v>1210</v>
      </c>
      <c r="J34" s="22">
        <v>1210</v>
      </c>
      <c r="K34" s="19">
        <v>1210</v>
      </c>
      <c r="L34" s="19">
        <v>2030</v>
      </c>
      <c r="M34" s="19">
        <v>2956</v>
      </c>
      <c r="N34" s="19">
        <v>3701</v>
      </c>
      <c r="O34" s="19">
        <v>4249</v>
      </c>
      <c r="P34" s="19">
        <v>4553</v>
      </c>
      <c r="Q34" s="19">
        <v>5747</v>
      </c>
      <c r="R34" s="60">
        <v>6827</v>
      </c>
      <c r="S34" s="19">
        <v>7908</v>
      </c>
      <c r="T34" s="60">
        <v>879</v>
      </c>
      <c r="U34" s="60">
        <v>879</v>
      </c>
      <c r="V34" s="60">
        <v>1099</v>
      </c>
      <c r="W34" s="60">
        <v>1189</v>
      </c>
      <c r="X34" s="60">
        <v>1189</v>
      </c>
      <c r="Z34" s="64">
        <f>X34-I34</f>
        <v>-21</v>
      </c>
      <c r="AA34" s="64">
        <f>Z34/I34*100</f>
        <v>-1.7355371900826446</v>
      </c>
    </row>
    <row r="35" spans="1:24" ht="12" customHeight="1">
      <c r="A35" s="30" t="s">
        <v>39</v>
      </c>
      <c r="B35" s="19" t="s">
        <v>40</v>
      </c>
      <c r="C35" s="61">
        <v>930</v>
      </c>
      <c r="D35" s="61">
        <v>1200</v>
      </c>
      <c r="E35" s="61">
        <v>1553</v>
      </c>
      <c r="F35" s="61">
        <v>2017</v>
      </c>
      <c r="G35" s="61" t="s">
        <v>85</v>
      </c>
      <c r="H35" s="61" t="s">
        <v>85</v>
      </c>
      <c r="I35" s="61">
        <v>2678</v>
      </c>
      <c r="J35" s="61">
        <v>3097</v>
      </c>
      <c r="K35" s="61">
        <v>3536</v>
      </c>
      <c r="L35" s="61">
        <v>3536</v>
      </c>
      <c r="M35" s="61">
        <v>3536</v>
      </c>
      <c r="N35" s="61">
        <v>3691</v>
      </c>
      <c r="O35" s="61">
        <v>3691</v>
      </c>
      <c r="P35" s="61">
        <v>3691</v>
      </c>
      <c r="Q35" s="61">
        <v>3691</v>
      </c>
      <c r="R35" s="61">
        <v>3698</v>
      </c>
      <c r="S35" s="61">
        <v>3780</v>
      </c>
      <c r="T35" s="61">
        <v>3779</v>
      </c>
      <c r="U35" s="61">
        <v>3784</v>
      </c>
      <c r="V35" s="62">
        <v>3784</v>
      </c>
      <c r="W35" s="62">
        <v>3784</v>
      </c>
      <c r="X35" s="61">
        <v>3833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72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7.75390625" style="19" customWidth="1"/>
    <col min="2" max="2" width="12.625" style="19" customWidth="1"/>
    <col min="3" max="3" width="9.00390625" style="19" customWidth="1"/>
    <col min="4" max="4" width="9.875" style="19" bestFit="1" customWidth="1"/>
    <col min="5" max="5" width="9.00390625" style="19" customWidth="1"/>
    <col min="6" max="6" width="7.625" style="19" bestFit="1" customWidth="1"/>
    <col min="7" max="9" width="9.00390625" style="19" customWidth="1"/>
    <col min="10" max="10" width="9.75390625" style="19" bestFit="1" customWidth="1"/>
    <col min="11" max="11" width="13.125" style="19" customWidth="1"/>
    <col min="12" max="16384" width="9.00390625" style="19" customWidth="1"/>
  </cols>
  <sheetData>
    <row r="1" ht="15">
      <c r="A1" s="28" t="s">
        <v>177</v>
      </c>
    </row>
    <row r="2" ht="11.25">
      <c r="A2" s="67" t="s">
        <v>95</v>
      </c>
    </row>
    <row r="3" spans="1:12" ht="11.25">
      <c r="A3" s="68" t="s">
        <v>136</v>
      </c>
      <c r="D3" s="68" t="s">
        <v>175</v>
      </c>
      <c r="E3" s="68" t="s">
        <v>138</v>
      </c>
      <c r="H3" s="60"/>
      <c r="I3" s="60"/>
      <c r="J3" s="60"/>
      <c r="K3" s="60"/>
      <c r="L3" s="60"/>
    </row>
    <row r="4" spans="1:5" ht="11.25">
      <c r="A4" s="68" t="s">
        <v>137</v>
      </c>
      <c r="D4" s="67"/>
      <c r="E4" s="68" t="s">
        <v>139</v>
      </c>
    </row>
    <row r="6" spans="11:12" s="21" customFormat="1" ht="11.25">
      <c r="K6" s="124" t="s">
        <v>258</v>
      </c>
      <c r="L6" s="124" t="s">
        <v>259</v>
      </c>
    </row>
    <row r="7" spans="1:12" ht="11.25">
      <c r="A7" s="21"/>
      <c r="B7" s="69" t="s">
        <v>140</v>
      </c>
      <c r="C7" s="19" t="s">
        <v>153</v>
      </c>
      <c r="D7" s="69" t="s">
        <v>141</v>
      </c>
      <c r="E7" s="69" t="s">
        <v>142</v>
      </c>
      <c r="F7" s="69" t="s">
        <v>143</v>
      </c>
      <c r="G7" s="69" t="s">
        <v>176</v>
      </c>
      <c r="K7" s="124" t="s">
        <v>271</v>
      </c>
      <c r="L7" s="124" t="s">
        <v>272</v>
      </c>
    </row>
    <row r="8" spans="1:12" ht="11.25">
      <c r="A8" s="30" t="s">
        <v>20</v>
      </c>
      <c r="B8" s="19" t="s">
        <v>21</v>
      </c>
      <c r="C8" s="19" t="s">
        <v>232</v>
      </c>
      <c r="D8" s="35">
        <v>82528</v>
      </c>
      <c r="E8" s="35">
        <v>82520</v>
      </c>
      <c r="F8" s="35">
        <v>82433.4</v>
      </c>
      <c r="G8" s="35">
        <v>82433.4</v>
      </c>
      <c r="I8" s="19" t="s">
        <v>255</v>
      </c>
      <c r="J8" s="39">
        <f>SUMIF(C8:C38,"Y",G8:G38)</f>
        <v>2630777.8099999996</v>
      </c>
      <c r="K8" s="125">
        <f>BDMotorw!AC43/(J8/1000)</f>
        <v>15.973222763346937</v>
      </c>
      <c r="L8" s="126">
        <f>BDLPopul!BB41/(J8)</f>
        <v>127.89969366512182</v>
      </c>
    </row>
    <row r="9" spans="1:12" ht="11.25">
      <c r="A9" s="30" t="s">
        <v>23</v>
      </c>
      <c r="B9" s="19" t="s">
        <v>24</v>
      </c>
      <c r="C9" s="19" t="s">
        <v>232</v>
      </c>
      <c r="D9" s="35">
        <v>30328.16</v>
      </c>
      <c r="E9" s="35">
        <v>30328.16</v>
      </c>
      <c r="F9" s="35">
        <v>30328.16</v>
      </c>
      <c r="G9" s="35">
        <v>30328.16</v>
      </c>
      <c r="I9" s="19" t="s">
        <v>256</v>
      </c>
      <c r="J9" s="39">
        <f>SUMIF(C8:C38,"N",G8:G38)</f>
        <v>2192813.38</v>
      </c>
      <c r="K9" s="125">
        <f>BDMotorw!AC44/(J9/1000)</f>
        <v>1.4661986420385669</v>
      </c>
      <c r="L9" s="126">
        <f>BDLPopul!BB42/J9</f>
        <v>84.06280656678591</v>
      </c>
    </row>
    <row r="10" spans="1:10" ht="11.25">
      <c r="A10" s="30" t="s">
        <v>25</v>
      </c>
      <c r="B10" s="19" t="s">
        <v>26</v>
      </c>
      <c r="C10" s="19" t="s">
        <v>233</v>
      </c>
      <c r="D10" s="35" t="s">
        <v>85</v>
      </c>
      <c r="E10" s="35" t="s">
        <v>85</v>
      </c>
      <c r="F10" s="35" t="s">
        <v>85</v>
      </c>
      <c r="G10" s="36">
        <v>110910</v>
      </c>
      <c r="H10" s="19" t="s">
        <v>144</v>
      </c>
      <c r="I10" s="19" t="s">
        <v>257</v>
      </c>
      <c r="J10" s="90">
        <f>(J8+J9)/SUM(G8:G38)</f>
        <v>1</v>
      </c>
    </row>
    <row r="11" spans="1:8" ht="11.25">
      <c r="A11" s="30" t="s">
        <v>27</v>
      </c>
      <c r="B11" s="19" t="s">
        <v>28</v>
      </c>
      <c r="C11" s="19" t="s">
        <v>233</v>
      </c>
      <c r="D11" s="35" t="s">
        <v>85</v>
      </c>
      <c r="E11" s="35" t="s">
        <v>85</v>
      </c>
      <c r="F11" s="35" t="s">
        <v>85</v>
      </c>
      <c r="G11" s="35">
        <v>9251</v>
      </c>
      <c r="H11" s="19" t="s">
        <v>144</v>
      </c>
    </row>
    <row r="12" spans="1:9" ht="11.25">
      <c r="A12" s="30" t="s">
        <v>29</v>
      </c>
      <c r="B12" s="19" t="s">
        <v>30</v>
      </c>
      <c r="C12" s="19" t="s">
        <v>233</v>
      </c>
      <c r="D12" s="35">
        <v>77289</v>
      </c>
      <c r="E12" s="35">
        <v>77275</v>
      </c>
      <c r="F12" s="35">
        <v>77272</v>
      </c>
      <c r="G12" s="35">
        <v>77272</v>
      </c>
      <c r="I12" s="90"/>
    </row>
    <row r="13" spans="1:9" ht="11.25">
      <c r="A13" s="30" t="s">
        <v>33</v>
      </c>
      <c r="B13" s="19" t="s">
        <v>34</v>
      </c>
      <c r="C13" s="19" t="s">
        <v>232</v>
      </c>
      <c r="D13" s="35">
        <v>42393.47</v>
      </c>
      <c r="E13" s="35">
        <v>42393.69</v>
      </c>
      <c r="F13" s="35">
        <v>42393.05</v>
      </c>
      <c r="G13" s="35">
        <v>42393.05</v>
      </c>
      <c r="I13" s="90"/>
    </row>
    <row r="14" spans="1:7" ht="11.25">
      <c r="A14" s="30" t="s">
        <v>35</v>
      </c>
      <c r="B14" s="19" t="s">
        <v>36</v>
      </c>
      <c r="C14" s="19" t="s">
        <v>233</v>
      </c>
      <c r="D14" s="35">
        <v>45226</v>
      </c>
      <c r="E14" s="35">
        <v>45227</v>
      </c>
      <c r="F14" s="35"/>
      <c r="G14" s="35">
        <v>45227</v>
      </c>
    </row>
    <row r="15" spans="1:7" ht="11.25">
      <c r="A15" s="30" t="s">
        <v>41</v>
      </c>
      <c r="B15" s="19" t="s">
        <v>42</v>
      </c>
      <c r="C15" s="19" t="s">
        <v>232</v>
      </c>
      <c r="D15" s="35">
        <v>304592</v>
      </c>
      <c r="E15" s="35">
        <v>304594</v>
      </c>
      <c r="F15" s="35" t="s">
        <v>85</v>
      </c>
      <c r="G15" s="35">
        <v>304594</v>
      </c>
    </row>
    <row r="16" spans="1:7" ht="11.25">
      <c r="A16" s="30" t="s">
        <v>43</v>
      </c>
      <c r="B16" s="19" t="s">
        <v>44</v>
      </c>
      <c r="C16" s="19" t="s">
        <v>232</v>
      </c>
      <c r="D16" s="35">
        <v>542054.15</v>
      </c>
      <c r="E16" s="35">
        <v>541595.17</v>
      </c>
      <c r="F16" s="35">
        <v>541412.24</v>
      </c>
      <c r="G16" s="35">
        <v>541412.24</v>
      </c>
    </row>
    <row r="17" spans="1:7" ht="11.25">
      <c r="A17" s="30" t="s">
        <v>31</v>
      </c>
      <c r="B17" s="19" t="s">
        <v>96</v>
      </c>
      <c r="C17" s="19" t="s">
        <v>232</v>
      </c>
      <c r="D17" s="35">
        <v>244089.92</v>
      </c>
      <c r="E17" s="35">
        <v>349133.47</v>
      </c>
      <c r="F17" s="35">
        <v>348946.36</v>
      </c>
      <c r="G17" s="35">
        <v>348946.36</v>
      </c>
    </row>
    <row r="18" spans="1:8" ht="11.25">
      <c r="A18" s="30" t="s">
        <v>37</v>
      </c>
      <c r="B18" s="19" t="s">
        <v>38</v>
      </c>
      <c r="C18" s="19" t="s">
        <v>232</v>
      </c>
      <c r="D18" s="35" t="s">
        <v>85</v>
      </c>
      <c r="E18" s="35" t="s">
        <v>85</v>
      </c>
      <c r="F18" s="35" t="s">
        <v>85</v>
      </c>
      <c r="G18" s="35">
        <v>131957.4</v>
      </c>
      <c r="H18" s="19" t="s">
        <v>144</v>
      </c>
    </row>
    <row r="19" spans="1:7" ht="11.25">
      <c r="A19" s="30" t="s">
        <v>47</v>
      </c>
      <c r="B19" s="19" t="s">
        <v>48</v>
      </c>
      <c r="C19" s="19" t="s">
        <v>233</v>
      </c>
      <c r="D19" s="35" t="s">
        <v>85</v>
      </c>
      <c r="E19" s="35" t="s">
        <v>85</v>
      </c>
      <c r="F19" s="35" t="s">
        <v>85</v>
      </c>
      <c r="G19" s="35">
        <v>91733</v>
      </c>
    </row>
    <row r="20" spans="1:8" ht="11.25">
      <c r="A20" s="30" t="s">
        <v>51</v>
      </c>
      <c r="B20" s="19" t="s">
        <v>52</v>
      </c>
      <c r="C20" s="19" t="s">
        <v>233</v>
      </c>
      <c r="D20" s="35">
        <v>100600</v>
      </c>
      <c r="E20" s="35">
        <v>100600</v>
      </c>
      <c r="F20" s="35">
        <v>100600</v>
      </c>
      <c r="G20" s="35"/>
      <c r="H20" s="115" t="s">
        <v>262</v>
      </c>
    </row>
    <row r="21" spans="1:7" ht="11.25">
      <c r="A21" s="30" t="s">
        <v>49</v>
      </c>
      <c r="B21" s="19" t="s">
        <v>50</v>
      </c>
      <c r="C21" s="19" t="s">
        <v>232</v>
      </c>
      <c r="D21" s="35">
        <v>68891.2</v>
      </c>
      <c r="E21" s="35">
        <v>68891.2</v>
      </c>
      <c r="F21" s="35">
        <v>68891.2</v>
      </c>
      <c r="G21" s="35">
        <v>68891.2</v>
      </c>
    </row>
    <row r="22" spans="1:8" ht="11.25">
      <c r="A22" s="30" t="s">
        <v>53</v>
      </c>
      <c r="B22" s="19" t="s">
        <v>54</v>
      </c>
      <c r="C22" s="19" t="s">
        <v>232</v>
      </c>
      <c r="D22" s="35" t="s">
        <v>85</v>
      </c>
      <c r="E22" s="35" t="s">
        <v>85</v>
      </c>
      <c r="F22" s="35" t="s">
        <v>85</v>
      </c>
      <c r="G22" s="35">
        <v>301333</v>
      </c>
      <c r="H22" s="19" t="s">
        <v>144</v>
      </c>
    </row>
    <row r="23" spans="1:7" ht="11.25">
      <c r="A23" s="30" t="s">
        <v>59</v>
      </c>
      <c r="B23" s="19" t="s">
        <v>60</v>
      </c>
      <c r="C23" s="19" t="s">
        <v>233</v>
      </c>
      <c r="D23" s="35">
        <v>62046</v>
      </c>
      <c r="E23" s="35">
        <v>62046</v>
      </c>
      <c r="F23" s="35">
        <v>62046</v>
      </c>
      <c r="G23" s="35">
        <v>62046</v>
      </c>
    </row>
    <row r="24" spans="1:7" ht="11.25">
      <c r="A24" s="30" t="s">
        <v>55</v>
      </c>
      <c r="B24" s="19" t="s">
        <v>87</v>
      </c>
      <c r="C24" s="19" t="s">
        <v>233</v>
      </c>
      <c r="D24" s="35">
        <v>62664.02</v>
      </c>
      <c r="E24" s="35">
        <v>62662.08</v>
      </c>
      <c r="F24" s="35">
        <v>62675.21</v>
      </c>
      <c r="G24" s="35">
        <v>62675.21</v>
      </c>
    </row>
    <row r="25" spans="1:8" ht="11.25">
      <c r="A25" s="30" t="s">
        <v>57</v>
      </c>
      <c r="B25" s="19" t="s">
        <v>97</v>
      </c>
      <c r="C25" s="19" t="s">
        <v>232</v>
      </c>
      <c r="D25" s="35">
        <v>2578.9</v>
      </c>
      <c r="E25" s="35" t="s">
        <v>85</v>
      </c>
      <c r="F25" s="35" t="s">
        <v>85</v>
      </c>
      <c r="G25" s="35"/>
      <c r="H25" s="115" t="s">
        <v>263</v>
      </c>
    </row>
    <row r="26" spans="1:8" ht="11.25">
      <c r="A26" s="30" t="s">
        <v>61</v>
      </c>
      <c r="B26" s="19" t="s">
        <v>62</v>
      </c>
      <c r="C26" s="19" t="s">
        <v>233</v>
      </c>
      <c r="D26" s="35" t="s">
        <v>85</v>
      </c>
      <c r="E26" s="35" t="s">
        <v>85</v>
      </c>
      <c r="F26" s="35" t="s">
        <v>85</v>
      </c>
      <c r="G26" s="36">
        <v>316</v>
      </c>
      <c r="H26" s="19" t="s">
        <v>144</v>
      </c>
    </row>
    <row r="27" spans="1:7" ht="11.25">
      <c r="A27" s="30" t="s">
        <v>63</v>
      </c>
      <c r="B27" s="19" t="s">
        <v>64</v>
      </c>
      <c r="C27" s="19" t="s">
        <v>232</v>
      </c>
      <c r="D27" s="35">
        <v>33922</v>
      </c>
      <c r="E27" s="35">
        <v>33921</v>
      </c>
      <c r="F27" s="35">
        <v>33873</v>
      </c>
      <c r="G27" s="35">
        <v>33873</v>
      </c>
    </row>
    <row r="28" spans="1:7" ht="11.25">
      <c r="A28" s="30" t="s">
        <v>65</v>
      </c>
      <c r="B28" s="19" t="s">
        <v>66</v>
      </c>
      <c r="C28" s="19" t="s">
        <v>233</v>
      </c>
      <c r="D28" s="35">
        <v>306807</v>
      </c>
      <c r="E28" s="35">
        <v>306252</v>
      </c>
      <c r="F28" s="35">
        <v>306252</v>
      </c>
      <c r="G28" s="35">
        <v>306252</v>
      </c>
    </row>
    <row r="29" spans="1:7" ht="11.25">
      <c r="A29" s="30" t="s">
        <v>67</v>
      </c>
      <c r="B29" s="19" t="s">
        <v>68</v>
      </c>
      <c r="C29" s="19" t="s">
        <v>233</v>
      </c>
      <c r="D29" s="35">
        <v>304426</v>
      </c>
      <c r="E29" s="35">
        <v>304372</v>
      </c>
      <c r="F29" s="35">
        <v>304349</v>
      </c>
      <c r="G29" s="35">
        <v>304349</v>
      </c>
    </row>
    <row r="30" spans="1:7" ht="11.25">
      <c r="A30" s="30" t="s">
        <v>69</v>
      </c>
      <c r="B30" s="19" t="s">
        <v>70</v>
      </c>
      <c r="C30" s="19" t="s">
        <v>232</v>
      </c>
      <c r="D30" s="35" t="s">
        <v>85</v>
      </c>
      <c r="E30" s="35" t="s">
        <v>85</v>
      </c>
      <c r="F30" s="35">
        <v>88796</v>
      </c>
      <c r="G30" s="35">
        <v>88796</v>
      </c>
    </row>
    <row r="31" spans="1:7" ht="11.25">
      <c r="A31" s="30" t="s">
        <v>71</v>
      </c>
      <c r="B31" s="19" t="s">
        <v>72</v>
      </c>
      <c r="C31" s="19" t="s">
        <v>233</v>
      </c>
      <c r="D31" s="35">
        <v>229355</v>
      </c>
      <c r="E31" s="35">
        <v>229493</v>
      </c>
      <c r="F31" s="35">
        <v>229713</v>
      </c>
      <c r="G31" s="35">
        <v>229713</v>
      </c>
    </row>
    <row r="32" spans="1:7" ht="11.25">
      <c r="A32" s="30" t="s">
        <v>77</v>
      </c>
      <c r="B32" s="19" t="s">
        <v>78</v>
      </c>
      <c r="C32" s="19" t="s">
        <v>233</v>
      </c>
      <c r="D32" s="35">
        <v>48113.16</v>
      </c>
      <c r="E32" s="35">
        <v>48099.34</v>
      </c>
      <c r="F32" s="35">
        <v>48103.67</v>
      </c>
      <c r="G32" s="35">
        <v>48103.67</v>
      </c>
    </row>
    <row r="33" spans="1:7" ht="11.25">
      <c r="A33" s="30" t="s">
        <v>75</v>
      </c>
      <c r="B33" s="19" t="s">
        <v>76</v>
      </c>
      <c r="C33" s="19" t="s">
        <v>233</v>
      </c>
      <c r="D33" s="35" t="s">
        <v>85</v>
      </c>
      <c r="E33" s="35">
        <v>20134.76</v>
      </c>
      <c r="F33" s="35">
        <v>20140.6</v>
      </c>
      <c r="G33" s="35">
        <v>20140.6</v>
      </c>
    </row>
    <row r="34" spans="1:8" ht="11.25">
      <c r="A34" s="30" t="s">
        <v>39</v>
      </c>
      <c r="B34" s="19" t="s">
        <v>40</v>
      </c>
      <c r="C34" s="19" t="s">
        <v>232</v>
      </c>
      <c r="D34" s="35">
        <v>499110</v>
      </c>
      <c r="E34" s="35" t="s">
        <v>85</v>
      </c>
      <c r="F34" s="35" t="s">
        <v>85</v>
      </c>
      <c r="G34" s="35"/>
      <c r="H34" s="115" t="s">
        <v>264</v>
      </c>
    </row>
    <row r="35" spans="1:7" ht="11.25">
      <c r="A35" s="30" t="s">
        <v>73</v>
      </c>
      <c r="B35" s="19" t="s">
        <v>74</v>
      </c>
      <c r="C35" s="19" t="s">
        <v>232</v>
      </c>
      <c r="D35" s="35">
        <v>411000</v>
      </c>
      <c r="E35" s="35">
        <v>411000</v>
      </c>
      <c r="F35" s="35">
        <v>411000</v>
      </c>
      <c r="G35" s="35">
        <v>411000</v>
      </c>
    </row>
    <row r="36" spans="1:7" ht="11.25">
      <c r="A36" s="30" t="s">
        <v>154</v>
      </c>
      <c r="B36" s="19" t="s">
        <v>91</v>
      </c>
      <c r="C36" s="19" t="s">
        <v>233</v>
      </c>
      <c r="D36" s="35" t="s">
        <v>85</v>
      </c>
      <c r="E36" s="35">
        <v>41262.9</v>
      </c>
      <c r="F36" s="35" t="s">
        <v>85</v>
      </c>
      <c r="G36" s="35">
        <v>41262.9</v>
      </c>
    </row>
    <row r="37" spans="1:8" ht="11.25">
      <c r="A37" s="30" t="s">
        <v>79</v>
      </c>
      <c r="B37" s="19" t="s">
        <v>80</v>
      </c>
      <c r="C37" s="19" t="s">
        <v>233</v>
      </c>
      <c r="D37" s="35" t="s">
        <v>85</v>
      </c>
      <c r="E37" s="35" t="s">
        <v>85</v>
      </c>
      <c r="F37" s="35" t="s">
        <v>85</v>
      </c>
      <c r="G37" s="36">
        <v>783562</v>
      </c>
      <c r="H37" s="19" t="s">
        <v>144</v>
      </c>
    </row>
    <row r="38" spans="1:8" ht="11.25">
      <c r="A38" s="30" t="s">
        <v>81</v>
      </c>
      <c r="B38" s="19" t="s">
        <v>82</v>
      </c>
      <c r="C38" s="19" t="s">
        <v>232</v>
      </c>
      <c r="D38" s="35" t="s">
        <v>85</v>
      </c>
      <c r="E38" s="35" t="s">
        <v>85</v>
      </c>
      <c r="F38" s="35" t="s">
        <v>85</v>
      </c>
      <c r="G38" s="36">
        <v>244820</v>
      </c>
      <c r="H38" s="19" t="s">
        <v>144</v>
      </c>
    </row>
    <row r="39" ht="11.25">
      <c r="C39" s="107">
        <f>COUNTIF(C8:C38,"y")</f>
        <v>15</v>
      </c>
    </row>
    <row r="41" spans="2:6" ht="11.25">
      <c r="B41" s="69" t="s">
        <v>146</v>
      </c>
      <c r="D41" s="69" t="s">
        <v>141</v>
      </c>
      <c r="E41" s="69" t="s">
        <v>142</v>
      </c>
      <c r="F41" s="69" t="s">
        <v>143</v>
      </c>
    </row>
    <row r="42" spans="2:6" ht="11.25">
      <c r="B42" s="19" t="s">
        <v>24</v>
      </c>
      <c r="D42" s="70">
        <v>30527.92</v>
      </c>
      <c r="E42" s="70">
        <v>30527.92</v>
      </c>
      <c r="F42" s="70">
        <v>30527.92</v>
      </c>
    </row>
    <row r="43" spans="2:6" ht="11.25">
      <c r="B43" s="19" t="s">
        <v>30</v>
      </c>
      <c r="D43" s="70">
        <v>78864</v>
      </c>
      <c r="E43" s="70">
        <v>78866</v>
      </c>
      <c r="F43" s="70">
        <v>78865</v>
      </c>
    </row>
    <row r="44" spans="2:6" ht="11.25">
      <c r="B44" s="19" t="s">
        <v>34</v>
      </c>
      <c r="D44" s="70">
        <v>43093.15</v>
      </c>
      <c r="E44" s="70">
        <v>43093.69</v>
      </c>
      <c r="F44" s="70">
        <v>43093.05</v>
      </c>
    </row>
    <row r="45" spans="2:6" ht="11.25">
      <c r="B45" s="19" t="s">
        <v>96</v>
      </c>
      <c r="D45" s="70">
        <v>248611.45</v>
      </c>
      <c r="E45" s="70">
        <v>356970.48</v>
      </c>
      <c r="F45" s="70">
        <v>357030.99</v>
      </c>
    </row>
    <row r="46" spans="2:6" ht="11.25">
      <c r="B46" s="19" t="s">
        <v>36</v>
      </c>
      <c r="D46" s="70" t="s">
        <v>85</v>
      </c>
      <c r="E46" s="70" t="s">
        <v>85</v>
      </c>
      <c r="F46" s="70" t="s">
        <v>85</v>
      </c>
    </row>
    <row r="47" spans="2:6" ht="11.25">
      <c r="B47" s="19" t="s">
        <v>38</v>
      </c>
      <c r="D47" s="70" t="s">
        <v>85</v>
      </c>
      <c r="E47" s="70" t="s">
        <v>85</v>
      </c>
      <c r="F47" s="70" t="s">
        <v>85</v>
      </c>
    </row>
    <row r="48" spans="2:6" ht="11.25">
      <c r="B48" s="19" t="s">
        <v>40</v>
      </c>
      <c r="D48" s="70">
        <v>504685</v>
      </c>
      <c r="E48" s="70" t="s">
        <v>85</v>
      </c>
      <c r="F48" s="70" t="s">
        <v>85</v>
      </c>
    </row>
    <row r="49" spans="2:6" ht="11.25">
      <c r="B49" s="19" t="s">
        <v>44</v>
      </c>
      <c r="D49" s="70">
        <v>549189.98</v>
      </c>
      <c r="E49" s="70">
        <v>549191.91</v>
      </c>
      <c r="F49" s="70">
        <v>549191.9</v>
      </c>
    </row>
    <row r="50" spans="2:6" ht="11.25">
      <c r="B50" s="19" t="s">
        <v>50</v>
      </c>
      <c r="D50" s="70" t="s">
        <v>85</v>
      </c>
      <c r="E50" s="70" t="s">
        <v>85</v>
      </c>
      <c r="F50" s="70" t="s">
        <v>85</v>
      </c>
    </row>
    <row r="51" spans="2:6" ht="11.25">
      <c r="B51" s="19" t="s">
        <v>54</v>
      </c>
      <c r="D51" s="70">
        <v>301277</v>
      </c>
      <c r="E51" s="70">
        <v>301318</v>
      </c>
      <c r="F51" s="70">
        <v>301333</v>
      </c>
    </row>
    <row r="52" spans="2:6" ht="11.25">
      <c r="B52" s="19" t="s">
        <v>28</v>
      </c>
      <c r="D52" s="70">
        <v>9251</v>
      </c>
      <c r="E52" s="70">
        <v>9251</v>
      </c>
      <c r="F52" s="70">
        <v>9251</v>
      </c>
    </row>
    <row r="53" spans="2:6" ht="11.25">
      <c r="B53" s="19" t="s">
        <v>60</v>
      </c>
      <c r="D53" s="70">
        <v>64589</v>
      </c>
      <c r="E53" s="70">
        <v>64589</v>
      </c>
      <c r="F53" s="70">
        <v>64589</v>
      </c>
    </row>
    <row r="54" spans="2:6" ht="11.25">
      <c r="B54" s="19" t="s">
        <v>87</v>
      </c>
      <c r="D54" s="70">
        <v>65301.02</v>
      </c>
      <c r="E54" s="70">
        <v>65300.73</v>
      </c>
      <c r="F54" s="70">
        <v>65300.32</v>
      </c>
    </row>
    <row r="55" spans="2:6" ht="11.25">
      <c r="B55" s="19" t="s">
        <v>145</v>
      </c>
      <c r="D55" s="70">
        <v>2596.9</v>
      </c>
      <c r="E55" s="70" t="s">
        <v>85</v>
      </c>
      <c r="F55" s="70" t="s">
        <v>85</v>
      </c>
    </row>
    <row r="56" spans="2:6" ht="11.25">
      <c r="B56" s="19" t="s">
        <v>48</v>
      </c>
      <c r="D56" s="70">
        <v>93032</v>
      </c>
      <c r="E56" s="70">
        <v>93030</v>
      </c>
      <c r="F56" s="70">
        <v>93030</v>
      </c>
    </row>
    <row r="57" spans="2:6" ht="11.25">
      <c r="B57" s="19" t="s">
        <v>62</v>
      </c>
      <c r="D57" s="70" t="s">
        <v>85</v>
      </c>
      <c r="E57" s="70" t="s">
        <v>85</v>
      </c>
      <c r="F57" s="70" t="s">
        <v>85</v>
      </c>
    </row>
    <row r="58" spans="2:6" ht="11.25">
      <c r="B58" s="19" t="s">
        <v>64</v>
      </c>
      <c r="D58" s="70">
        <v>39858</v>
      </c>
      <c r="E58" s="70">
        <v>41028</v>
      </c>
      <c r="F58" s="70">
        <v>41526</v>
      </c>
    </row>
    <row r="59" spans="2:6" ht="11.25">
      <c r="B59" s="19" t="s">
        <v>21</v>
      </c>
      <c r="D59" s="70">
        <v>83859</v>
      </c>
      <c r="E59" s="70">
        <v>83859</v>
      </c>
      <c r="F59" s="70">
        <v>83859</v>
      </c>
    </row>
    <row r="60" spans="2:6" ht="11.25">
      <c r="B60" s="19" t="s">
        <v>68</v>
      </c>
      <c r="D60" s="70">
        <v>312683</v>
      </c>
      <c r="E60" s="70">
        <v>312685</v>
      </c>
      <c r="F60" s="70">
        <v>312685</v>
      </c>
    </row>
    <row r="61" spans="2:6" ht="11.25">
      <c r="B61" s="19" t="s">
        <v>70</v>
      </c>
      <c r="D61" s="70">
        <v>91990</v>
      </c>
      <c r="E61" s="70" t="s">
        <v>85</v>
      </c>
      <c r="F61" s="70">
        <v>89371</v>
      </c>
    </row>
    <row r="62" spans="2:6" ht="11.25">
      <c r="B62" s="19" t="s">
        <v>76</v>
      </c>
      <c r="D62" s="70" t="s">
        <v>85</v>
      </c>
      <c r="E62" s="70">
        <v>20273</v>
      </c>
      <c r="F62" s="70">
        <v>20273</v>
      </c>
    </row>
    <row r="63" spans="2:6" ht="11.25">
      <c r="B63" s="19" t="s">
        <v>78</v>
      </c>
      <c r="D63" s="70">
        <v>49037.55</v>
      </c>
      <c r="E63" s="70">
        <v>49037.55</v>
      </c>
      <c r="F63" s="70">
        <v>49037.55</v>
      </c>
    </row>
    <row r="64" spans="2:6" ht="11.25">
      <c r="B64" s="19" t="s">
        <v>42</v>
      </c>
      <c r="D64" s="70">
        <v>338145</v>
      </c>
      <c r="E64" s="70">
        <v>338145</v>
      </c>
      <c r="F64" s="70" t="s">
        <v>85</v>
      </c>
    </row>
    <row r="65" spans="2:6" ht="11.25">
      <c r="B65" s="19" t="s">
        <v>74</v>
      </c>
      <c r="D65" s="70">
        <v>450000</v>
      </c>
      <c r="E65" s="70">
        <v>450000</v>
      </c>
      <c r="F65" s="70">
        <v>450000</v>
      </c>
    </row>
    <row r="66" spans="2:6" ht="11.25">
      <c r="B66" s="19" t="s">
        <v>82</v>
      </c>
      <c r="D66" s="70" t="s">
        <v>85</v>
      </c>
      <c r="E66" s="70" t="s">
        <v>85</v>
      </c>
      <c r="F66" s="70" t="s">
        <v>85</v>
      </c>
    </row>
    <row r="67" spans="2:6" ht="11.25">
      <c r="B67" s="19" t="s">
        <v>26</v>
      </c>
      <c r="D67" s="70" t="s">
        <v>85</v>
      </c>
      <c r="E67" s="70" t="s">
        <v>85</v>
      </c>
      <c r="F67" s="70" t="s">
        <v>85</v>
      </c>
    </row>
    <row r="68" spans="2:6" ht="11.25">
      <c r="B68" s="19" t="s">
        <v>72</v>
      </c>
      <c r="D68" s="70">
        <v>238391</v>
      </c>
      <c r="E68" s="70">
        <v>238391</v>
      </c>
      <c r="F68" s="70">
        <v>238391</v>
      </c>
    </row>
    <row r="69" spans="2:6" ht="11.25">
      <c r="B69" s="19" t="s">
        <v>80</v>
      </c>
      <c r="D69" s="70" t="s">
        <v>85</v>
      </c>
      <c r="E69" s="70" t="s">
        <v>85</v>
      </c>
      <c r="F69" s="70" t="s">
        <v>85</v>
      </c>
    </row>
    <row r="70" spans="2:6" ht="11.25">
      <c r="B70" s="19" t="s">
        <v>52</v>
      </c>
      <c r="D70" s="70">
        <v>103300</v>
      </c>
      <c r="E70" s="70">
        <v>103300</v>
      </c>
      <c r="F70" s="70">
        <v>103300</v>
      </c>
    </row>
    <row r="71" spans="2:6" ht="11.25">
      <c r="B71" s="19" t="s">
        <v>66</v>
      </c>
      <c r="D71" s="70">
        <v>323877</v>
      </c>
      <c r="E71" s="70">
        <v>323877</v>
      </c>
      <c r="F71" s="70">
        <v>323758</v>
      </c>
    </row>
    <row r="72" spans="2:6" ht="11.25">
      <c r="B72" s="19" t="s">
        <v>91</v>
      </c>
      <c r="D72" s="70" t="s">
        <v>85</v>
      </c>
      <c r="E72" s="70">
        <v>41284.8</v>
      </c>
      <c r="F72" s="70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BK45"/>
  <sheetViews>
    <sheetView zoomScalePageLayoutView="0" workbookViewId="0" topLeftCell="A1">
      <pane xSplit="3" topLeftCell="AW1" activePane="topRight" state="frozen"/>
      <selection pane="topLeft" activeCell="A1" sqref="A1"/>
      <selection pane="topRight" activeCell="BA44" sqref="BA44"/>
    </sheetView>
  </sheetViews>
  <sheetFormatPr defaultColWidth="9.375" defaultRowHeight="12" customHeight="1"/>
  <cols>
    <col min="1" max="1" width="4.50390625" style="19" customWidth="1"/>
    <col min="2" max="2" width="10.75390625" style="19" customWidth="1"/>
    <col min="3" max="3" width="6.75390625" style="19" customWidth="1"/>
    <col min="4" max="53" width="8.50390625" style="19" customWidth="1"/>
    <col min="54" max="54" width="11.25390625" style="19" bestFit="1" customWidth="1"/>
    <col min="55" max="63" width="8.50390625" style="19" customWidth="1"/>
    <col min="64" max="16384" width="9.375" style="19" customWidth="1"/>
  </cols>
  <sheetData>
    <row r="1" ht="18" customHeight="1">
      <c r="A1" s="28" t="s">
        <v>193</v>
      </c>
    </row>
    <row r="7" spans="3:63" ht="12" customHeight="1">
      <c r="C7" s="19" t="s">
        <v>153</v>
      </c>
      <c r="D7" s="29">
        <v>1950</v>
      </c>
      <c r="E7" s="29">
        <v>1951</v>
      </c>
      <c r="F7" s="29">
        <v>1952</v>
      </c>
      <c r="G7" s="29">
        <v>1953</v>
      </c>
      <c r="H7" s="29">
        <v>1954</v>
      </c>
      <c r="I7" s="29">
        <v>1955</v>
      </c>
      <c r="J7" s="29">
        <v>1956</v>
      </c>
      <c r="K7" s="29">
        <v>1957</v>
      </c>
      <c r="L7" s="29">
        <v>1958</v>
      </c>
      <c r="M7" s="29">
        <v>1959</v>
      </c>
      <c r="N7" s="29">
        <v>1960</v>
      </c>
      <c r="O7" s="29">
        <v>1961</v>
      </c>
      <c r="P7" s="29">
        <v>1962</v>
      </c>
      <c r="Q7" s="29">
        <v>1963</v>
      </c>
      <c r="R7" s="29">
        <v>1964</v>
      </c>
      <c r="S7" s="29">
        <v>1965</v>
      </c>
      <c r="T7" s="29">
        <v>1966</v>
      </c>
      <c r="U7" s="29">
        <v>1967</v>
      </c>
      <c r="V7" s="29">
        <v>1968</v>
      </c>
      <c r="W7" s="29">
        <v>1969</v>
      </c>
      <c r="X7" s="29">
        <v>1970</v>
      </c>
      <c r="Y7" s="29">
        <v>1971</v>
      </c>
      <c r="Z7" s="29">
        <v>1972</v>
      </c>
      <c r="AA7" s="29">
        <v>1973</v>
      </c>
      <c r="AB7" s="29">
        <v>1974</v>
      </c>
      <c r="AC7" s="29">
        <v>1975</v>
      </c>
      <c r="AD7" s="29">
        <v>1976</v>
      </c>
      <c r="AE7" s="29">
        <v>1977</v>
      </c>
      <c r="AF7" s="29">
        <v>1978</v>
      </c>
      <c r="AG7" s="29">
        <v>1979</v>
      </c>
      <c r="AH7" s="29">
        <v>1980</v>
      </c>
      <c r="AI7" s="29">
        <v>1981</v>
      </c>
      <c r="AJ7" s="29">
        <v>1982</v>
      </c>
      <c r="AK7" s="29">
        <v>1983</v>
      </c>
      <c r="AL7" s="29">
        <v>1984</v>
      </c>
      <c r="AM7" s="29">
        <v>1985</v>
      </c>
      <c r="AN7" s="29">
        <v>1986</v>
      </c>
      <c r="AO7" s="29">
        <v>1987</v>
      </c>
      <c r="AP7" s="29">
        <v>1988</v>
      </c>
      <c r="AQ7" s="29">
        <v>1989</v>
      </c>
      <c r="AR7" s="29">
        <v>1990</v>
      </c>
      <c r="AS7" s="29">
        <v>1991</v>
      </c>
      <c r="AT7" s="29">
        <v>1992</v>
      </c>
      <c r="AU7" s="29">
        <v>1993</v>
      </c>
      <c r="AV7" s="29">
        <v>1994</v>
      </c>
      <c r="AW7" s="29">
        <v>1995</v>
      </c>
      <c r="AX7" s="29">
        <v>1996</v>
      </c>
      <c r="AY7" s="29">
        <v>1997</v>
      </c>
      <c r="AZ7" s="29">
        <v>1998</v>
      </c>
      <c r="BA7" s="29">
        <v>1999</v>
      </c>
      <c r="BB7" s="29">
        <v>2000</v>
      </c>
      <c r="BC7" s="29">
        <v>2001</v>
      </c>
      <c r="BD7" s="29">
        <v>2002</v>
      </c>
      <c r="BE7" s="29">
        <v>2003</v>
      </c>
      <c r="BF7" s="29">
        <v>2004</v>
      </c>
      <c r="BG7" s="29">
        <v>2005</v>
      </c>
      <c r="BH7" s="29">
        <v>2006</v>
      </c>
      <c r="BI7" s="29">
        <v>2007</v>
      </c>
      <c r="BJ7" s="29">
        <v>2008</v>
      </c>
      <c r="BK7" s="29">
        <v>2009</v>
      </c>
    </row>
    <row r="8" spans="1:63" ht="12" customHeight="1">
      <c r="A8" s="30" t="s">
        <v>20</v>
      </c>
      <c r="B8" s="19" t="s">
        <v>21</v>
      </c>
      <c r="C8" s="19" t="s">
        <v>232</v>
      </c>
      <c r="D8" s="71">
        <v>6925961</v>
      </c>
      <c r="E8" s="71">
        <v>6944239</v>
      </c>
      <c r="F8" s="71">
        <v>6926663</v>
      </c>
      <c r="G8" s="71">
        <v>6928881</v>
      </c>
      <c r="H8" s="71">
        <v>6936085</v>
      </c>
      <c r="I8" s="71">
        <v>6944333</v>
      </c>
      <c r="J8" s="71">
        <v>6949437</v>
      </c>
      <c r="K8" s="71">
        <v>6955281</v>
      </c>
      <c r="L8" s="71">
        <v>6976439</v>
      </c>
      <c r="M8" s="71">
        <v>6998277</v>
      </c>
      <c r="N8" s="71">
        <v>7030385</v>
      </c>
      <c r="O8" s="71">
        <v>7064693</v>
      </c>
      <c r="P8" s="71">
        <v>7107904</v>
      </c>
      <c r="Q8" s="71">
        <v>7151824</v>
      </c>
      <c r="R8" s="71">
        <v>7199798</v>
      </c>
      <c r="S8" s="71">
        <v>7247804</v>
      </c>
      <c r="T8" s="71">
        <v>7293973</v>
      </c>
      <c r="U8" s="71">
        <v>7350159</v>
      </c>
      <c r="V8" s="71">
        <v>7403837</v>
      </c>
      <c r="W8" s="71">
        <v>7426968</v>
      </c>
      <c r="X8" s="71">
        <v>7455142</v>
      </c>
      <c r="Y8" s="71">
        <v>7479030</v>
      </c>
      <c r="Z8" s="71">
        <v>7521933</v>
      </c>
      <c r="AA8" s="71">
        <v>7566469</v>
      </c>
      <c r="AB8" s="71">
        <v>7605760</v>
      </c>
      <c r="AC8" s="71">
        <v>7592316</v>
      </c>
      <c r="AD8" s="71">
        <v>7565489</v>
      </c>
      <c r="AE8" s="71">
        <v>7565561</v>
      </c>
      <c r="AF8" s="71">
        <v>7571299</v>
      </c>
      <c r="AG8" s="71">
        <v>7553310</v>
      </c>
      <c r="AH8" s="71">
        <v>7545539</v>
      </c>
      <c r="AI8" s="71">
        <v>7553326</v>
      </c>
      <c r="AJ8" s="71">
        <v>7584094</v>
      </c>
      <c r="AK8" s="71">
        <v>7564185</v>
      </c>
      <c r="AL8" s="71">
        <v>7559635</v>
      </c>
      <c r="AM8" s="71">
        <v>7563233</v>
      </c>
      <c r="AN8" s="71">
        <v>7566736</v>
      </c>
      <c r="AO8" s="71">
        <v>7572852</v>
      </c>
      <c r="AP8" s="71">
        <v>7576319</v>
      </c>
      <c r="AQ8" s="71">
        <v>7594315</v>
      </c>
      <c r="AR8" s="71">
        <v>7644818</v>
      </c>
      <c r="AS8" s="71">
        <v>7710882</v>
      </c>
      <c r="AT8" s="71">
        <v>7798899</v>
      </c>
      <c r="AU8" s="71">
        <v>7882519</v>
      </c>
      <c r="AV8" s="71">
        <v>7928746</v>
      </c>
      <c r="AW8" s="71">
        <v>7943489</v>
      </c>
      <c r="AX8" s="71">
        <v>7953067</v>
      </c>
      <c r="AY8" s="71">
        <v>7964966</v>
      </c>
      <c r="AZ8" s="71">
        <v>7971116</v>
      </c>
      <c r="BA8" s="71">
        <v>7982461</v>
      </c>
      <c r="BB8" s="71">
        <v>8002186</v>
      </c>
      <c r="BC8" s="71">
        <v>8020946</v>
      </c>
      <c r="BD8" s="71">
        <v>8065146</v>
      </c>
      <c r="BE8" s="71">
        <v>8102175</v>
      </c>
      <c r="BF8" s="71">
        <v>8140122</v>
      </c>
      <c r="BG8" s="71">
        <v>8206524</v>
      </c>
      <c r="BH8" s="71">
        <v>8265925</v>
      </c>
      <c r="BI8" s="71">
        <v>8298923</v>
      </c>
      <c r="BJ8" s="71">
        <v>8331930</v>
      </c>
      <c r="BK8" s="71">
        <v>8356707</v>
      </c>
    </row>
    <row r="9" spans="1:63" ht="12" customHeight="1">
      <c r="A9" s="30" t="s">
        <v>23</v>
      </c>
      <c r="B9" s="19" t="s">
        <v>24</v>
      </c>
      <c r="C9" s="19" t="s">
        <v>232</v>
      </c>
      <c r="D9" s="71">
        <v>8639000</v>
      </c>
      <c r="E9" s="71" t="s">
        <v>85</v>
      </c>
      <c r="F9" s="71" t="s">
        <v>85</v>
      </c>
      <c r="G9" s="71" t="s">
        <v>85</v>
      </c>
      <c r="H9" s="71">
        <v>8798046</v>
      </c>
      <c r="I9" s="71">
        <v>8840701</v>
      </c>
      <c r="J9" s="71">
        <v>8896200</v>
      </c>
      <c r="K9" s="71">
        <v>8951400</v>
      </c>
      <c r="L9" s="71">
        <v>9026700</v>
      </c>
      <c r="M9" s="71">
        <v>9078600</v>
      </c>
      <c r="N9" s="71">
        <v>9128824</v>
      </c>
      <c r="O9" s="71">
        <v>9178154</v>
      </c>
      <c r="P9" s="71">
        <v>9189741</v>
      </c>
      <c r="Q9" s="71">
        <v>9251414</v>
      </c>
      <c r="R9" s="71">
        <v>9328126</v>
      </c>
      <c r="S9" s="71">
        <v>9428100</v>
      </c>
      <c r="T9" s="71">
        <v>9499234</v>
      </c>
      <c r="U9" s="71">
        <v>9556380</v>
      </c>
      <c r="V9" s="71">
        <v>9605601</v>
      </c>
      <c r="W9" s="71">
        <v>9631910</v>
      </c>
      <c r="X9" s="71">
        <v>9660154</v>
      </c>
      <c r="Y9" s="71">
        <v>9650944</v>
      </c>
      <c r="Z9" s="71">
        <v>9695379</v>
      </c>
      <c r="AA9" s="71">
        <v>9726850</v>
      </c>
      <c r="AB9" s="71">
        <v>9756590</v>
      </c>
      <c r="AC9" s="71">
        <v>9788248</v>
      </c>
      <c r="AD9" s="71">
        <v>9813152</v>
      </c>
      <c r="AE9" s="71">
        <v>9823302</v>
      </c>
      <c r="AF9" s="71">
        <v>9837413</v>
      </c>
      <c r="AG9" s="71">
        <v>9841654</v>
      </c>
      <c r="AH9" s="71">
        <v>9855110</v>
      </c>
      <c r="AI9" s="71">
        <v>9863374</v>
      </c>
      <c r="AJ9" s="71">
        <v>9854589</v>
      </c>
      <c r="AK9" s="71">
        <v>9858017</v>
      </c>
      <c r="AL9" s="71">
        <v>9853023</v>
      </c>
      <c r="AM9" s="71">
        <v>9857721</v>
      </c>
      <c r="AN9" s="71">
        <v>9858895</v>
      </c>
      <c r="AO9" s="71">
        <v>9864751</v>
      </c>
      <c r="AP9" s="71">
        <v>9875716</v>
      </c>
      <c r="AQ9" s="71">
        <v>9927612</v>
      </c>
      <c r="AR9" s="71">
        <v>9947782</v>
      </c>
      <c r="AS9" s="71">
        <v>9986975</v>
      </c>
      <c r="AT9" s="71">
        <v>10021997</v>
      </c>
      <c r="AU9" s="71">
        <v>10068319</v>
      </c>
      <c r="AV9" s="71">
        <v>10100631</v>
      </c>
      <c r="AW9" s="71">
        <v>10130574</v>
      </c>
      <c r="AX9" s="71">
        <v>10143047</v>
      </c>
      <c r="AY9" s="71">
        <v>10170226</v>
      </c>
      <c r="AZ9" s="71">
        <v>10192264</v>
      </c>
      <c r="BA9" s="71">
        <v>10213752</v>
      </c>
      <c r="BB9" s="71">
        <v>10239085</v>
      </c>
      <c r="BC9" s="71">
        <v>10263414</v>
      </c>
      <c r="BD9" s="71">
        <v>10309725</v>
      </c>
      <c r="BE9" s="71">
        <v>10355844</v>
      </c>
      <c r="BF9" s="71">
        <v>10396421</v>
      </c>
      <c r="BG9" s="71">
        <v>10445852</v>
      </c>
      <c r="BH9" s="71">
        <v>10511382</v>
      </c>
      <c r="BI9" s="71">
        <v>10584534</v>
      </c>
      <c r="BJ9" s="71">
        <v>10666866</v>
      </c>
      <c r="BK9" s="71">
        <v>10741048</v>
      </c>
    </row>
    <row r="10" spans="1:63" ht="12" customHeight="1">
      <c r="A10" s="30" t="s">
        <v>25</v>
      </c>
      <c r="B10" s="19" t="s">
        <v>26</v>
      </c>
      <c r="C10" s="19" t="s">
        <v>233</v>
      </c>
      <c r="D10" s="71" t="s">
        <v>85</v>
      </c>
      <c r="E10" s="71" t="s">
        <v>85</v>
      </c>
      <c r="F10" s="71" t="s">
        <v>85</v>
      </c>
      <c r="G10" s="71" t="s">
        <v>85</v>
      </c>
      <c r="H10" s="71" t="s">
        <v>85</v>
      </c>
      <c r="I10" s="71" t="s">
        <v>85</v>
      </c>
      <c r="J10" s="71" t="s">
        <v>85</v>
      </c>
      <c r="K10" s="71" t="s">
        <v>85</v>
      </c>
      <c r="L10" s="71" t="s">
        <v>85</v>
      </c>
      <c r="M10" s="71" t="s">
        <v>85</v>
      </c>
      <c r="N10" s="71">
        <v>7829246</v>
      </c>
      <c r="O10" s="71">
        <v>7905502</v>
      </c>
      <c r="P10" s="71">
        <v>7980734</v>
      </c>
      <c r="Q10" s="71">
        <v>8045158</v>
      </c>
      <c r="R10" s="71">
        <v>8111132</v>
      </c>
      <c r="S10" s="71">
        <v>8177547</v>
      </c>
      <c r="T10" s="71">
        <v>8230788</v>
      </c>
      <c r="U10" s="71">
        <v>8285325</v>
      </c>
      <c r="V10" s="71">
        <v>8335126</v>
      </c>
      <c r="W10" s="71">
        <v>8404080</v>
      </c>
      <c r="X10" s="71">
        <v>8464264</v>
      </c>
      <c r="Y10" s="71">
        <v>8514883</v>
      </c>
      <c r="Z10" s="71">
        <v>8557906</v>
      </c>
      <c r="AA10" s="71">
        <v>8594493</v>
      </c>
      <c r="AB10" s="71">
        <v>8647440</v>
      </c>
      <c r="AC10" s="71">
        <v>8710049</v>
      </c>
      <c r="AD10" s="71">
        <v>8731434</v>
      </c>
      <c r="AE10" s="71">
        <v>8785763</v>
      </c>
      <c r="AF10" s="71">
        <v>8822602</v>
      </c>
      <c r="AG10" s="71">
        <v>8805462</v>
      </c>
      <c r="AH10" s="71">
        <v>8846417</v>
      </c>
      <c r="AI10" s="71">
        <v>8876652</v>
      </c>
      <c r="AJ10" s="71">
        <v>8905581</v>
      </c>
      <c r="AK10" s="71">
        <v>8929332</v>
      </c>
      <c r="AL10" s="71">
        <v>8950144</v>
      </c>
      <c r="AM10" s="71">
        <v>8971214</v>
      </c>
      <c r="AN10" s="71">
        <v>8949880</v>
      </c>
      <c r="AO10" s="71">
        <v>8966462</v>
      </c>
      <c r="AP10" s="71">
        <v>8976255</v>
      </c>
      <c r="AQ10" s="71">
        <v>8986636</v>
      </c>
      <c r="AR10" s="71">
        <v>8767308</v>
      </c>
      <c r="AS10" s="71">
        <v>8669269</v>
      </c>
      <c r="AT10" s="71">
        <v>8595465</v>
      </c>
      <c r="AU10" s="71">
        <v>8484863</v>
      </c>
      <c r="AV10" s="71">
        <v>8459763</v>
      </c>
      <c r="AW10" s="71">
        <v>8427418</v>
      </c>
      <c r="AX10" s="71">
        <v>8384715</v>
      </c>
      <c r="AY10" s="71">
        <v>8340936</v>
      </c>
      <c r="AZ10" s="71">
        <v>8283200</v>
      </c>
      <c r="BA10" s="71">
        <v>8230371</v>
      </c>
      <c r="BB10" s="71">
        <v>8190876</v>
      </c>
      <c r="BC10" s="71">
        <v>8149468</v>
      </c>
      <c r="BD10" s="71">
        <v>7891095</v>
      </c>
      <c r="BE10" s="71">
        <v>7845841</v>
      </c>
      <c r="BF10" s="71">
        <v>7801273</v>
      </c>
      <c r="BG10" s="71">
        <v>7761049</v>
      </c>
      <c r="BH10" s="71">
        <v>7718750</v>
      </c>
      <c r="BI10" s="71">
        <v>7679290</v>
      </c>
      <c r="BJ10" s="71">
        <v>7640238</v>
      </c>
      <c r="BK10" s="71">
        <v>7602116</v>
      </c>
    </row>
    <row r="11" spans="1:63" ht="12" customHeight="1">
      <c r="A11" s="30" t="s">
        <v>27</v>
      </c>
      <c r="B11" s="19" t="s">
        <v>28</v>
      </c>
      <c r="C11" s="19" t="s">
        <v>233</v>
      </c>
      <c r="D11" s="71" t="s">
        <v>85</v>
      </c>
      <c r="E11" s="71" t="s">
        <v>85</v>
      </c>
      <c r="F11" s="71" t="s">
        <v>85</v>
      </c>
      <c r="G11" s="71" t="s">
        <v>85</v>
      </c>
      <c r="H11" s="71" t="s">
        <v>85</v>
      </c>
      <c r="I11" s="71" t="s">
        <v>85</v>
      </c>
      <c r="J11" s="71" t="s">
        <v>85</v>
      </c>
      <c r="K11" s="71" t="s">
        <v>85</v>
      </c>
      <c r="L11" s="71" t="s">
        <v>85</v>
      </c>
      <c r="M11" s="71" t="s">
        <v>85</v>
      </c>
      <c r="N11" s="71">
        <v>572000</v>
      </c>
      <c r="O11" s="71">
        <v>573566</v>
      </c>
      <c r="P11" s="71">
        <v>575900</v>
      </c>
      <c r="Q11" s="71">
        <v>578900</v>
      </c>
      <c r="R11" s="71">
        <v>585500</v>
      </c>
      <c r="S11" s="71">
        <v>588400</v>
      </c>
      <c r="T11" s="71">
        <v>593200</v>
      </c>
      <c r="U11" s="71">
        <v>597100</v>
      </c>
      <c r="V11" s="71">
        <v>601800</v>
      </c>
      <c r="W11" s="71">
        <v>606800</v>
      </c>
      <c r="X11" s="71">
        <v>612000</v>
      </c>
      <c r="Y11" s="71">
        <v>616900</v>
      </c>
      <c r="Z11" s="71">
        <v>623100</v>
      </c>
      <c r="AA11" s="71">
        <v>631778</v>
      </c>
      <c r="AB11" s="71">
        <v>637800</v>
      </c>
      <c r="AC11" s="71">
        <v>491000</v>
      </c>
      <c r="AD11" s="71">
        <v>497879</v>
      </c>
      <c r="AE11" s="71">
        <v>500000</v>
      </c>
      <c r="AF11" s="71">
        <v>503000</v>
      </c>
      <c r="AG11" s="71">
        <v>506000</v>
      </c>
      <c r="AH11" s="71">
        <v>510000</v>
      </c>
      <c r="AI11" s="71">
        <v>515000</v>
      </c>
      <c r="AJ11" s="71">
        <v>522845</v>
      </c>
      <c r="AK11" s="71">
        <v>524623</v>
      </c>
      <c r="AL11" s="71">
        <v>531518</v>
      </c>
      <c r="AM11" s="71">
        <v>538397</v>
      </c>
      <c r="AN11" s="71">
        <v>544605</v>
      </c>
      <c r="AO11" s="71">
        <v>550888</v>
      </c>
      <c r="AP11" s="71">
        <v>556584</v>
      </c>
      <c r="AQ11" s="71">
        <v>562693</v>
      </c>
      <c r="AR11" s="71">
        <v>572655</v>
      </c>
      <c r="AS11" s="71">
        <v>587141</v>
      </c>
      <c r="AT11" s="71">
        <v>603069</v>
      </c>
      <c r="AU11" s="71">
        <v>619231</v>
      </c>
      <c r="AV11" s="71">
        <v>632944</v>
      </c>
      <c r="AW11" s="71">
        <v>645399</v>
      </c>
      <c r="AX11" s="71">
        <v>656333</v>
      </c>
      <c r="AY11" s="71">
        <v>666313</v>
      </c>
      <c r="AZ11" s="71">
        <v>675215</v>
      </c>
      <c r="BA11" s="71">
        <v>682862</v>
      </c>
      <c r="BB11" s="71">
        <v>690497</v>
      </c>
      <c r="BC11" s="71">
        <v>697549</v>
      </c>
      <c r="BD11" s="71">
        <v>705539</v>
      </c>
      <c r="BE11" s="71">
        <v>715137</v>
      </c>
      <c r="BF11" s="71">
        <v>730367</v>
      </c>
      <c r="BG11" s="71">
        <v>749175</v>
      </c>
      <c r="BH11" s="71">
        <v>766414</v>
      </c>
      <c r="BI11" s="71">
        <v>778684</v>
      </c>
      <c r="BJ11" s="71">
        <v>789258</v>
      </c>
      <c r="BK11" s="71">
        <v>801622</v>
      </c>
    </row>
    <row r="12" spans="1:63" ht="12" customHeight="1">
      <c r="A12" s="30" t="s">
        <v>29</v>
      </c>
      <c r="B12" s="19" t="s">
        <v>30</v>
      </c>
      <c r="C12" s="19" t="s">
        <v>233</v>
      </c>
      <c r="D12" s="71" t="s">
        <v>85</v>
      </c>
      <c r="E12" s="71" t="s">
        <v>85</v>
      </c>
      <c r="F12" s="71" t="s">
        <v>85</v>
      </c>
      <c r="G12" s="71" t="s">
        <v>85</v>
      </c>
      <c r="H12" s="71" t="s">
        <v>85</v>
      </c>
      <c r="I12" s="71" t="s">
        <v>85</v>
      </c>
      <c r="J12" s="71" t="s">
        <v>85</v>
      </c>
      <c r="K12" s="71" t="s">
        <v>85</v>
      </c>
      <c r="L12" s="71" t="s">
        <v>85</v>
      </c>
      <c r="M12" s="71" t="s">
        <v>85</v>
      </c>
      <c r="N12" s="71">
        <v>9637840</v>
      </c>
      <c r="O12" s="71">
        <v>9566172</v>
      </c>
      <c r="P12" s="71">
        <v>9607129</v>
      </c>
      <c r="Q12" s="71">
        <v>9642191</v>
      </c>
      <c r="R12" s="71">
        <v>9699179</v>
      </c>
      <c r="S12" s="71">
        <v>9756429</v>
      </c>
      <c r="T12" s="71">
        <v>9802287</v>
      </c>
      <c r="U12" s="71">
        <v>9839792</v>
      </c>
      <c r="V12" s="71">
        <v>9866006</v>
      </c>
      <c r="W12" s="71">
        <v>9886686</v>
      </c>
      <c r="X12" s="71">
        <v>9906474</v>
      </c>
      <c r="Y12" s="71">
        <v>9809667</v>
      </c>
      <c r="Z12" s="71">
        <v>9843962</v>
      </c>
      <c r="AA12" s="71">
        <v>9891302</v>
      </c>
      <c r="AB12" s="71">
        <v>9953230</v>
      </c>
      <c r="AC12" s="71">
        <v>10023688</v>
      </c>
      <c r="AD12" s="71">
        <v>10093551</v>
      </c>
      <c r="AE12" s="71">
        <v>10158327</v>
      </c>
      <c r="AF12" s="71">
        <v>10215183</v>
      </c>
      <c r="AG12" s="71">
        <v>10269012</v>
      </c>
      <c r="AH12" s="71">
        <v>10315669</v>
      </c>
      <c r="AI12" s="71">
        <v>10292717</v>
      </c>
      <c r="AJ12" s="71">
        <v>10308465</v>
      </c>
      <c r="AK12" s="71">
        <v>10321186</v>
      </c>
      <c r="AL12" s="71">
        <v>10326526</v>
      </c>
      <c r="AM12" s="71">
        <v>10333900</v>
      </c>
      <c r="AN12" s="71">
        <v>10340335</v>
      </c>
      <c r="AO12" s="71">
        <v>10344119</v>
      </c>
      <c r="AP12" s="71">
        <v>10350517</v>
      </c>
      <c r="AQ12" s="71">
        <v>10360034</v>
      </c>
      <c r="AR12" s="71">
        <v>10362102</v>
      </c>
      <c r="AS12" s="71">
        <v>10304607</v>
      </c>
      <c r="AT12" s="71">
        <v>10312548</v>
      </c>
      <c r="AU12" s="71">
        <v>10325697</v>
      </c>
      <c r="AV12" s="71">
        <v>10334013</v>
      </c>
      <c r="AW12" s="71">
        <v>10333161</v>
      </c>
      <c r="AX12" s="71">
        <v>10321344</v>
      </c>
      <c r="AY12" s="71">
        <v>10309137</v>
      </c>
      <c r="AZ12" s="71">
        <v>10299125</v>
      </c>
      <c r="BA12" s="71">
        <v>10289621</v>
      </c>
      <c r="BB12" s="71">
        <v>10278098</v>
      </c>
      <c r="BC12" s="71">
        <v>10266546</v>
      </c>
      <c r="BD12" s="71">
        <v>10206436</v>
      </c>
      <c r="BE12" s="71">
        <v>10203269</v>
      </c>
      <c r="BF12" s="71">
        <v>10211455</v>
      </c>
      <c r="BG12" s="71">
        <v>10220577</v>
      </c>
      <c r="BH12" s="71">
        <v>10251079</v>
      </c>
      <c r="BI12" s="71">
        <v>10287189</v>
      </c>
      <c r="BJ12" s="71">
        <v>10381130</v>
      </c>
      <c r="BK12" s="71">
        <v>10474607</v>
      </c>
    </row>
    <row r="13" spans="1:63" ht="12" customHeight="1">
      <c r="A13" s="30" t="s">
        <v>33</v>
      </c>
      <c r="B13" s="19" t="s">
        <v>34</v>
      </c>
      <c r="C13" s="19" t="s">
        <v>232</v>
      </c>
      <c r="D13" s="71">
        <v>4251497</v>
      </c>
      <c r="E13" s="71">
        <v>4285439</v>
      </c>
      <c r="F13" s="71">
        <v>4315325</v>
      </c>
      <c r="G13" s="71">
        <v>4349399</v>
      </c>
      <c r="H13" s="71">
        <v>4389154</v>
      </c>
      <c r="I13" s="71">
        <v>4423995</v>
      </c>
      <c r="J13" s="71">
        <v>4454016</v>
      </c>
      <c r="K13" s="71">
        <v>4479024</v>
      </c>
      <c r="L13" s="71">
        <v>4500713</v>
      </c>
      <c r="M13" s="71">
        <v>4531860</v>
      </c>
      <c r="N13" s="71">
        <v>4565455</v>
      </c>
      <c r="O13" s="71">
        <v>4593750</v>
      </c>
      <c r="P13" s="71">
        <v>4629624</v>
      </c>
      <c r="Q13" s="71">
        <v>4665829</v>
      </c>
      <c r="R13" s="71">
        <v>4703136</v>
      </c>
      <c r="S13" s="71">
        <v>4741008</v>
      </c>
      <c r="T13" s="71">
        <v>4777015</v>
      </c>
      <c r="U13" s="71">
        <v>4817746</v>
      </c>
      <c r="V13" s="71">
        <v>4852962</v>
      </c>
      <c r="W13" s="71">
        <v>4876803</v>
      </c>
      <c r="X13" s="71">
        <v>4906916</v>
      </c>
      <c r="Y13" s="71">
        <v>4950598</v>
      </c>
      <c r="Z13" s="71">
        <v>4975653</v>
      </c>
      <c r="AA13" s="71">
        <v>5007538</v>
      </c>
      <c r="AB13" s="71">
        <v>5036184</v>
      </c>
      <c r="AC13" s="71">
        <v>5054410</v>
      </c>
      <c r="AD13" s="71">
        <v>5065313</v>
      </c>
      <c r="AE13" s="71">
        <v>5079879</v>
      </c>
      <c r="AF13" s="71">
        <v>5096959</v>
      </c>
      <c r="AG13" s="71">
        <v>5111537</v>
      </c>
      <c r="AH13" s="71">
        <v>5122065</v>
      </c>
      <c r="AI13" s="71">
        <v>5123989</v>
      </c>
      <c r="AJ13" s="71">
        <v>5119155</v>
      </c>
      <c r="AK13" s="71">
        <v>5116464</v>
      </c>
      <c r="AL13" s="71">
        <v>5112130</v>
      </c>
      <c r="AM13" s="71">
        <v>5111108</v>
      </c>
      <c r="AN13" s="71">
        <v>5116273</v>
      </c>
      <c r="AO13" s="71">
        <v>5124794</v>
      </c>
      <c r="AP13" s="71">
        <v>5129254</v>
      </c>
      <c r="AQ13" s="71">
        <v>5129778</v>
      </c>
      <c r="AR13" s="71">
        <v>5135409</v>
      </c>
      <c r="AS13" s="71">
        <v>5146469</v>
      </c>
      <c r="AT13" s="71">
        <v>5162126</v>
      </c>
      <c r="AU13" s="71">
        <v>5180614</v>
      </c>
      <c r="AV13" s="71">
        <v>5196642</v>
      </c>
      <c r="AW13" s="71">
        <v>5215718</v>
      </c>
      <c r="AX13" s="71">
        <v>5251027</v>
      </c>
      <c r="AY13" s="71">
        <v>5275121</v>
      </c>
      <c r="AZ13" s="71">
        <v>5294860</v>
      </c>
      <c r="BA13" s="71">
        <v>5313577</v>
      </c>
      <c r="BB13" s="71">
        <v>5330020</v>
      </c>
      <c r="BC13" s="71">
        <v>5349212</v>
      </c>
      <c r="BD13" s="71">
        <v>5368354</v>
      </c>
      <c r="BE13" s="71">
        <v>5383507</v>
      </c>
      <c r="BF13" s="71">
        <v>5397640</v>
      </c>
      <c r="BG13" s="71">
        <v>5411405</v>
      </c>
      <c r="BH13" s="71">
        <v>5427459</v>
      </c>
      <c r="BI13" s="71">
        <v>5447084</v>
      </c>
      <c r="BJ13" s="71">
        <v>5475791</v>
      </c>
      <c r="BK13" s="71">
        <v>5519259</v>
      </c>
    </row>
    <row r="14" spans="1:63" ht="12" customHeight="1">
      <c r="A14" s="30" t="s">
        <v>35</v>
      </c>
      <c r="B14" s="19" t="s">
        <v>36</v>
      </c>
      <c r="C14" s="19" t="s">
        <v>233</v>
      </c>
      <c r="D14" s="71" t="s">
        <v>85</v>
      </c>
      <c r="E14" s="71" t="s">
        <v>85</v>
      </c>
      <c r="F14" s="71" t="s">
        <v>85</v>
      </c>
      <c r="G14" s="71" t="s">
        <v>85</v>
      </c>
      <c r="H14" s="71" t="s">
        <v>85</v>
      </c>
      <c r="I14" s="71" t="s">
        <v>85</v>
      </c>
      <c r="J14" s="71" t="s">
        <v>85</v>
      </c>
      <c r="K14" s="71" t="s">
        <v>85</v>
      </c>
      <c r="L14" s="71" t="s">
        <v>85</v>
      </c>
      <c r="M14" s="71">
        <v>1196791</v>
      </c>
      <c r="N14" s="71">
        <v>1209100</v>
      </c>
      <c r="O14" s="71">
        <v>1222200</v>
      </c>
      <c r="P14" s="71">
        <v>1237900</v>
      </c>
      <c r="Q14" s="71">
        <v>1253500</v>
      </c>
      <c r="R14" s="71">
        <v>1269200</v>
      </c>
      <c r="S14" s="71">
        <v>1284800</v>
      </c>
      <c r="T14" s="71">
        <v>1297300</v>
      </c>
      <c r="U14" s="71">
        <v>1312000</v>
      </c>
      <c r="V14" s="71">
        <v>1326700</v>
      </c>
      <c r="W14" s="71">
        <v>1341400</v>
      </c>
      <c r="X14" s="71">
        <v>1356079</v>
      </c>
      <c r="Y14" s="71">
        <v>1368511</v>
      </c>
      <c r="Z14" s="71">
        <v>1385399</v>
      </c>
      <c r="AA14" s="71">
        <v>1399637</v>
      </c>
      <c r="AB14" s="71">
        <v>1412265</v>
      </c>
      <c r="AC14" s="71">
        <v>1424073</v>
      </c>
      <c r="AD14" s="71">
        <v>1434630</v>
      </c>
      <c r="AE14" s="71">
        <v>1444522</v>
      </c>
      <c r="AF14" s="71">
        <v>1455900</v>
      </c>
      <c r="AG14" s="71">
        <v>1464476</v>
      </c>
      <c r="AH14" s="71">
        <v>1472190</v>
      </c>
      <c r="AI14" s="71">
        <v>1482247</v>
      </c>
      <c r="AJ14" s="71">
        <v>1493085</v>
      </c>
      <c r="AK14" s="71">
        <v>1503743</v>
      </c>
      <c r="AL14" s="71">
        <v>1513747</v>
      </c>
      <c r="AM14" s="71">
        <v>1523486</v>
      </c>
      <c r="AN14" s="71">
        <v>1534076</v>
      </c>
      <c r="AO14" s="71">
        <v>1546304</v>
      </c>
      <c r="AP14" s="71">
        <v>1558137</v>
      </c>
      <c r="AQ14" s="71">
        <v>1565662</v>
      </c>
      <c r="AR14" s="71">
        <v>1570599</v>
      </c>
      <c r="AS14" s="71">
        <v>1567749</v>
      </c>
      <c r="AT14" s="71">
        <v>1554878</v>
      </c>
      <c r="AU14" s="71">
        <v>1511303</v>
      </c>
      <c r="AV14" s="71">
        <v>1476952</v>
      </c>
      <c r="AW14" s="71">
        <v>1448075</v>
      </c>
      <c r="AX14" s="71">
        <v>1425192</v>
      </c>
      <c r="AY14" s="71">
        <v>1405996</v>
      </c>
      <c r="AZ14" s="71">
        <v>1393074</v>
      </c>
      <c r="BA14" s="71">
        <v>1379237</v>
      </c>
      <c r="BB14" s="71">
        <v>1372071</v>
      </c>
      <c r="BC14" s="71">
        <v>1366959</v>
      </c>
      <c r="BD14" s="71">
        <v>1361242</v>
      </c>
      <c r="BE14" s="71">
        <v>1356045</v>
      </c>
      <c r="BF14" s="71">
        <v>1351069</v>
      </c>
      <c r="BG14" s="71">
        <v>1347510</v>
      </c>
      <c r="BH14" s="71">
        <v>1344684</v>
      </c>
      <c r="BI14" s="71">
        <v>1342409</v>
      </c>
      <c r="BJ14" s="71">
        <v>1340935</v>
      </c>
      <c r="BK14" s="71">
        <v>1340341</v>
      </c>
    </row>
    <row r="15" spans="1:63" ht="12" customHeight="1">
      <c r="A15" s="30" t="s">
        <v>41</v>
      </c>
      <c r="B15" s="19" t="s">
        <v>42</v>
      </c>
      <c r="C15" s="19" t="s">
        <v>232</v>
      </c>
      <c r="D15" s="71">
        <v>3987996</v>
      </c>
      <c r="E15" s="71">
        <v>4029803</v>
      </c>
      <c r="F15" s="71">
        <v>4064727</v>
      </c>
      <c r="G15" s="71">
        <v>4116228</v>
      </c>
      <c r="H15" s="71">
        <v>4162609</v>
      </c>
      <c r="I15" s="71">
        <v>4211191</v>
      </c>
      <c r="J15" s="71">
        <v>4258571</v>
      </c>
      <c r="K15" s="71">
        <v>4304832</v>
      </c>
      <c r="L15" s="71">
        <v>4343190</v>
      </c>
      <c r="M15" s="71">
        <v>4376314</v>
      </c>
      <c r="N15" s="71">
        <v>4413046</v>
      </c>
      <c r="O15" s="71">
        <v>4446222</v>
      </c>
      <c r="P15" s="71">
        <v>4475787</v>
      </c>
      <c r="Q15" s="71">
        <v>4507098</v>
      </c>
      <c r="R15" s="71">
        <v>4539519</v>
      </c>
      <c r="S15" s="71">
        <v>4557567</v>
      </c>
      <c r="T15" s="71">
        <v>4569896</v>
      </c>
      <c r="U15" s="71">
        <v>4591842</v>
      </c>
      <c r="V15" s="71">
        <v>4619645</v>
      </c>
      <c r="W15" s="71">
        <v>4633292</v>
      </c>
      <c r="X15" s="71">
        <v>4614277</v>
      </c>
      <c r="Y15" s="71">
        <v>4598336</v>
      </c>
      <c r="Z15" s="71">
        <v>4625912</v>
      </c>
      <c r="AA15" s="71">
        <v>4653401</v>
      </c>
      <c r="AB15" s="71">
        <v>4678761</v>
      </c>
      <c r="AC15" s="71">
        <v>4702387</v>
      </c>
      <c r="AD15" s="71">
        <v>4720492</v>
      </c>
      <c r="AE15" s="71">
        <v>4730836</v>
      </c>
      <c r="AF15" s="71">
        <v>4746967</v>
      </c>
      <c r="AG15" s="71">
        <v>4758088</v>
      </c>
      <c r="AH15" s="71">
        <v>4771292</v>
      </c>
      <c r="AI15" s="71">
        <v>4787778</v>
      </c>
      <c r="AJ15" s="71">
        <v>4812150</v>
      </c>
      <c r="AK15" s="71">
        <v>4841715</v>
      </c>
      <c r="AL15" s="71">
        <v>4869858</v>
      </c>
      <c r="AM15" s="71">
        <v>4893748</v>
      </c>
      <c r="AN15" s="71">
        <v>4910664</v>
      </c>
      <c r="AO15" s="71">
        <v>4925644</v>
      </c>
      <c r="AP15" s="71">
        <v>4938602</v>
      </c>
      <c r="AQ15" s="71">
        <v>4954359</v>
      </c>
      <c r="AR15" s="71">
        <v>4974383</v>
      </c>
      <c r="AS15" s="71">
        <v>4998478</v>
      </c>
      <c r="AT15" s="71">
        <v>5029002</v>
      </c>
      <c r="AU15" s="71">
        <v>5054982</v>
      </c>
      <c r="AV15" s="71">
        <v>5077912</v>
      </c>
      <c r="AW15" s="71">
        <v>5098754</v>
      </c>
      <c r="AX15" s="71">
        <v>5116826</v>
      </c>
      <c r="AY15" s="71">
        <v>5132320</v>
      </c>
      <c r="AZ15" s="71">
        <v>5147349</v>
      </c>
      <c r="BA15" s="71">
        <v>5159646</v>
      </c>
      <c r="BB15" s="71">
        <v>5171302</v>
      </c>
      <c r="BC15" s="71">
        <v>5181115</v>
      </c>
      <c r="BD15" s="71">
        <v>5194901</v>
      </c>
      <c r="BE15" s="71">
        <v>5206295</v>
      </c>
      <c r="BF15" s="71">
        <v>5219732</v>
      </c>
      <c r="BG15" s="71">
        <v>5236611</v>
      </c>
      <c r="BH15" s="71">
        <v>5255580</v>
      </c>
      <c r="BI15" s="71">
        <v>5276955</v>
      </c>
      <c r="BJ15" s="71">
        <v>5300484</v>
      </c>
      <c r="BK15" s="71">
        <v>5325115</v>
      </c>
    </row>
    <row r="16" spans="1:63" ht="12" customHeight="1">
      <c r="A16" s="30" t="s">
        <v>43</v>
      </c>
      <c r="B16" s="19" t="s">
        <v>44</v>
      </c>
      <c r="C16" s="19" t="s">
        <v>232</v>
      </c>
      <c r="D16" s="71" t="s">
        <v>85</v>
      </c>
      <c r="E16" s="71" t="s">
        <v>85</v>
      </c>
      <c r="F16" s="71" t="s">
        <v>85</v>
      </c>
      <c r="G16" s="71" t="s">
        <v>85</v>
      </c>
      <c r="H16" s="71" t="s">
        <v>85</v>
      </c>
      <c r="I16" s="71" t="s">
        <v>85</v>
      </c>
      <c r="J16" s="71" t="s">
        <v>85</v>
      </c>
      <c r="K16" s="71" t="s">
        <v>85</v>
      </c>
      <c r="L16" s="71" t="s">
        <v>85</v>
      </c>
      <c r="M16" s="71" t="s">
        <v>85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99">
        <f>AS16</f>
        <v>58313439</v>
      </c>
      <c r="AS16" s="71">
        <v>58313439</v>
      </c>
      <c r="AT16" s="71">
        <v>58604851</v>
      </c>
      <c r="AU16" s="71">
        <v>58885929</v>
      </c>
      <c r="AV16" s="71">
        <v>59104320</v>
      </c>
      <c r="AW16" s="71">
        <v>59315139</v>
      </c>
      <c r="AX16" s="71">
        <v>59522297</v>
      </c>
      <c r="AY16" s="71">
        <v>59726386</v>
      </c>
      <c r="AZ16" s="71">
        <v>59934884</v>
      </c>
      <c r="BA16" s="71">
        <v>60158533</v>
      </c>
      <c r="BB16" s="71">
        <v>60537977</v>
      </c>
      <c r="BC16" s="71">
        <v>60963775</v>
      </c>
      <c r="BD16" s="71">
        <v>61399344</v>
      </c>
      <c r="BE16" s="71">
        <v>61831779</v>
      </c>
      <c r="BF16" s="71">
        <v>62251817</v>
      </c>
      <c r="BG16" s="71">
        <v>62637596</v>
      </c>
      <c r="BH16" s="71">
        <v>62998773</v>
      </c>
      <c r="BI16" s="71">
        <v>63392140</v>
      </c>
      <c r="BJ16" s="71">
        <v>63753140</v>
      </c>
      <c r="BK16" s="71">
        <v>64105125</v>
      </c>
    </row>
    <row r="17" spans="1:63" ht="12" customHeight="1">
      <c r="A17" s="30" t="s">
        <v>31</v>
      </c>
      <c r="B17" s="19" t="s">
        <v>168</v>
      </c>
      <c r="C17" s="19" t="s">
        <v>232</v>
      </c>
      <c r="D17" s="71">
        <v>68376000</v>
      </c>
      <c r="E17" s="71">
        <v>69346297</v>
      </c>
      <c r="F17" s="71">
        <v>69784905</v>
      </c>
      <c r="G17" s="71">
        <v>70164772</v>
      </c>
      <c r="H17" s="71">
        <v>70565928</v>
      </c>
      <c r="I17" s="71">
        <v>70944842</v>
      </c>
      <c r="J17" s="71">
        <v>71349915</v>
      </c>
      <c r="K17" s="71">
        <v>70943304</v>
      </c>
      <c r="L17" s="71">
        <v>71475035</v>
      </c>
      <c r="M17" s="71">
        <v>72030866</v>
      </c>
      <c r="N17" s="71">
        <v>72542990</v>
      </c>
      <c r="O17" s="71">
        <v>73086809</v>
      </c>
      <c r="P17" s="71">
        <v>73668454</v>
      </c>
      <c r="Q17" s="71">
        <v>74383113</v>
      </c>
      <c r="R17" s="71">
        <v>75045592</v>
      </c>
      <c r="S17" s="71">
        <v>75591082</v>
      </c>
      <c r="T17" s="71">
        <v>76336308</v>
      </c>
      <c r="U17" s="71">
        <v>76864314</v>
      </c>
      <c r="V17" s="71">
        <v>77038358</v>
      </c>
      <c r="W17" s="71">
        <v>77550269</v>
      </c>
      <c r="X17" s="71">
        <v>78269095</v>
      </c>
      <c r="Y17" s="71">
        <v>78069482</v>
      </c>
      <c r="Z17" s="71">
        <v>78556202</v>
      </c>
      <c r="AA17" s="71">
        <v>78820701</v>
      </c>
      <c r="AB17" s="71">
        <v>79052630</v>
      </c>
      <c r="AC17" s="71">
        <v>78882235</v>
      </c>
      <c r="AD17" s="71">
        <v>78464873</v>
      </c>
      <c r="AE17" s="71">
        <v>78209026</v>
      </c>
      <c r="AF17" s="71">
        <v>78110602</v>
      </c>
      <c r="AG17" s="71">
        <v>78073038</v>
      </c>
      <c r="AH17" s="71">
        <v>78179662</v>
      </c>
      <c r="AI17" s="71">
        <v>78397490</v>
      </c>
      <c r="AJ17" s="71">
        <v>78418324</v>
      </c>
      <c r="AK17" s="71">
        <v>78248407</v>
      </c>
      <c r="AL17" s="71">
        <v>78008156</v>
      </c>
      <c r="AM17" s="71">
        <v>77709213</v>
      </c>
      <c r="AN17" s="71">
        <v>77660533</v>
      </c>
      <c r="AO17" s="71">
        <v>77780338</v>
      </c>
      <c r="AP17" s="71">
        <v>77899502</v>
      </c>
      <c r="AQ17" s="71">
        <v>78389735</v>
      </c>
      <c r="AR17" s="71">
        <v>79112831</v>
      </c>
      <c r="AS17" s="71">
        <v>79753227</v>
      </c>
      <c r="AT17" s="71">
        <v>80274564</v>
      </c>
      <c r="AU17" s="71">
        <v>80974632</v>
      </c>
      <c r="AV17" s="71">
        <v>81338093</v>
      </c>
      <c r="AW17" s="71">
        <v>81538603</v>
      </c>
      <c r="AX17" s="71">
        <v>81817499</v>
      </c>
      <c r="AY17" s="71">
        <v>82012162</v>
      </c>
      <c r="AZ17" s="71">
        <v>82057379</v>
      </c>
      <c r="BA17" s="71">
        <v>82037011</v>
      </c>
      <c r="BB17" s="71">
        <v>82163475</v>
      </c>
      <c r="BC17" s="71">
        <v>82259540</v>
      </c>
      <c r="BD17" s="71">
        <v>82440309</v>
      </c>
      <c r="BE17" s="71">
        <v>82536680</v>
      </c>
      <c r="BF17" s="71">
        <v>82531671</v>
      </c>
      <c r="BG17" s="71">
        <v>82500849</v>
      </c>
      <c r="BH17" s="71">
        <v>82437995</v>
      </c>
      <c r="BI17" s="71">
        <v>82314906</v>
      </c>
      <c r="BJ17" s="71">
        <v>82217837</v>
      </c>
      <c r="BK17" s="71">
        <v>82062249</v>
      </c>
    </row>
    <row r="18" spans="1:63" ht="12" customHeight="1">
      <c r="A18" s="30" t="s">
        <v>37</v>
      </c>
      <c r="B18" s="19" t="s">
        <v>38</v>
      </c>
      <c r="C18" s="19" t="s">
        <v>232</v>
      </c>
      <c r="D18" s="71">
        <v>7566000</v>
      </c>
      <c r="E18" s="71" t="s">
        <v>85</v>
      </c>
      <c r="F18" s="71" t="s">
        <v>85</v>
      </c>
      <c r="G18" s="71" t="s">
        <v>85</v>
      </c>
      <c r="H18" s="71" t="s">
        <v>85</v>
      </c>
      <c r="I18" s="71">
        <v>7966000</v>
      </c>
      <c r="J18" s="71" t="s">
        <v>85</v>
      </c>
      <c r="K18" s="71" t="s">
        <v>85</v>
      </c>
      <c r="L18" s="71" t="s">
        <v>85</v>
      </c>
      <c r="M18" s="71" t="s">
        <v>85</v>
      </c>
      <c r="N18" s="71">
        <v>8300399</v>
      </c>
      <c r="O18" s="71">
        <v>8363050</v>
      </c>
      <c r="P18" s="71">
        <v>8433050</v>
      </c>
      <c r="Q18" s="71">
        <v>8463416</v>
      </c>
      <c r="R18" s="71">
        <v>8495834</v>
      </c>
      <c r="S18" s="71">
        <v>8525024</v>
      </c>
      <c r="T18" s="71">
        <v>8575642</v>
      </c>
      <c r="U18" s="71">
        <v>8651660</v>
      </c>
      <c r="V18" s="71">
        <v>8716516</v>
      </c>
      <c r="W18" s="71">
        <v>8765014</v>
      </c>
      <c r="X18" s="71">
        <v>8780514</v>
      </c>
      <c r="Y18" s="71">
        <v>8805098</v>
      </c>
      <c r="Z18" s="71">
        <v>8856974</v>
      </c>
      <c r="AA18" s="71">
        <v>8920282</v>
      </c>
      <c r="AB18" s="71">
        <v>8937890</v>
      </c>
      <c r="AC18" s="71">
        <v>8986153</v>
      </c>
      <c r="AD18" s="71">
        <v>9106928</v>
      </c>
      <c r="AE18" s="71">
        <v>9269372</v>
      </c>
      <c r="AF18" s="71">
        <v>9347586</v>
      </c>
      <c r="AG18" s="71">
        <v>9512332</v>
      </c>
      <c r="AH18" s="71">
        <v>9584184</v>
      </c>
      <c r="AI18" s="71">
        <v>9700826</v>
      </c>
      <c r="AJ18" s="71">
        <v>9757874</v>
      </c>
      <c r="AK18" s="71">
        <v>9821152</v>
      </c>
      <c r="AL18" s="71">
        <v>9872102</v>
      </c>
      <c r="AM18" s="71">
        <v>9919500</v>
      </c>
      <c r="AN18" s="71">
        <v>9949100</v>
      </c>
      <c r="AO18" s="71">
        <v>9985326</v>
      </c>
      <c r="AP18" s="71">
        <v>10015863</v>
      </c>
      <c r="AQ18" s="71">
        <v>10058103</v>
      </c>
      <c r="AR18" s="71">
        <v>10120892</v>
      </c>
      <c r="AS18" s="71">
        <v>10192911</v>
      </c>
      <c r="AT18" s="71">
        <v>10319672</v>
      </c>
      <c r="AU18" s="71">
        <v>10420059</v>
      </c>
      <c r="AV18" s="71">
        <v>10510996</v>
      </c>
      <c r="AW18" s="71">
        <v>10595074</v>
      </c>
      <c r="AX18" s="71">
        <v>10673696</v>
      </c>
      <c r="AY18" s="71">
        <v>10744649</v>
      </c>
      <c r="AZ18" s="71">
        <v>10808358</v>
      </c>
      <c r="BA18" s="71">
        <v>10861402</v>
      </c>
      <c r="BB18" s="71">
        <v>10903757</v>
      </c>
      <c r="BC18" s="71">
        <v>10931206</v>
      </c>
      <c r="BD18" s="71">
        <v>10968708</v>
      </c>
      <c r="BE18" s="71">
        <v>11006377</v>
      </c>
      <c r="BF18" s="71">
        <v>11040650</v>
      </c>
      <c r="BG18" s="71">
        <v>11082751</v>
      </c>
      <c r="BH18" s="71">
        <v>11125179</v>
      </c>
      <c r="BI18" s="71">
        <v>11171740</v>
      </c>
      <c r="BJ18" s="71">
        <v>11213785</v>
      </c>
      <c r="BK18" s="71">
        <v>11262539</v>
      </c>
    </row>
    <row r="19" spans="1:63" ht="12" customHeight="1">
      <c r="A19" s="30" t="s">
        <v>47</v>
      </c>
      <c r="B19" s="19" t="s">
        <v>48</v>
      </c>
      <c r="C19" s="19" t="s">
        <v>233</v>
      </c>
      <c r="D19" s="71" t="s">
        <v>85</v>
      </c>
      <c r="E19" s="71" t="s">
        <v>85</v>
      </c>
      <c r="F19" s="71" t="s">
        <v>85</v>
      </c>
      <c r="G19" s="71" t="s">
        <v>85</v>
      </c>
      <c r="H19" s="71" t="s">
        <v>85</v>
      </c>
      <c r="I19" s="71" t="s">
        <v>85</v>
      </c>
      <c r="J19" s="71" t="s">
        <v>85</v>
      </c>
      <c r="K19" s="71" t="s">
        <v>85</v>
      </c>
      <c r="L19" s="71" t="s">
        <v>85</v>
      </c>
      <c r="M19" s="71" t="s">
        <v>85</v>
      </c>
      <c r="N19" s="71">
        <v>9961044</v>
      </c>
      <c r="O19" s="71">
        <v>10006889</v>
      </c>
      <c r="P19" s="71">
        <v>10051753</v>
      </c>
      <c r="Q19" s="71">
        <v>10071715</v>
      </c>
      <c r="R19" s="71">
        <v>10104179</v>
      </c>
      <c r="S19" s="71">
        <v>10135490</v>
      </c>
      <c r="T19" s="71">
        <v>10160380</v>
      </c>
      <c r="U19" s="71">
        <v>10196926</v>
      </c>
      <c r="V19" s="71">
        <v>10236282</v>
      </c>
      <c r="W19" s="71">
        <v>10275347</v>
      </c>
      <c r="X19" s="71">
        <v>10322099</v>
      </c>
      <c r="Y19" s="71">
        <v>10353721</v>
      </c>
      <c r="Z19" s="71">
        <v>10381352</v>
      </c>
      <c r="AA19" s="71">
        <v>10415626</v>
      </c>
      <c r="AB19" s="71">
        <v>10448484</v>
      </c>
      <c r="AC19" s="71">
        <v>10508956</v>
      </c>
      <c r="AD19" s="71">
        <v>10572094</v>
      </c>
      <c r="AE19" s="71">
        <v>10625259</v>
      </c>
      <c r="AF19" s="71">
        <v>10670802</v>
      </c>
      <c r="AG19" s="71">
        <v>10698841</v>
      </c>
      <c r="AH19" s="71">
        <v>10709463</v>
      </c>
      <c r="AI19" s="71">
        <v>10712781</v>
      </c>
      <c r="AJ19" s="71">
        <v>10710914</v>
      </c>
      <c r="AK19" s="71">
        <v>10700155</v>
      </c>
      <c r="AL19" s="71">
        <v>10678770</v>
      </c>
      <c r="AM19" s="71">
        <v>10657420</v>
      </c>
      <c r="AN19" s="71">
        <v>10640006</v>
      </c>
      <c r="AO19" s="71">
        <v>10621121</v>
      </c>
      <c r="AP19" s="71">
        <v>10604360</v>
      </c>
      <c r="AQ19" s="71">
        <v>10588614</v>
      </c>
      <c r="AR19" s="71">
        <v>10374823</v>
      </c>
      <c r="AS19" s="71">
        <v>10373153</v>
      </c>
      <c r="AT19" s="71">
        <v>10373647</v>
      </c>
      <c r="AU19" s="71">
        <v>10365035</v>
      </c>
      <c r="AV19" s="71">
        <v>10350010</v>
      </c>
      <c r="AW19" s="71">
        <v>10336700</v>
      </c>
      <c r="AX19" s="71">
        <v>10321229</v>
      </c>
      <c r="AY19" s="71">
        <v>10301247</v>
      </c>
      <c r="AZ19" s="71">
        <v>10279724</v>
      </c>
      <c r="BA19" s="71">
        <v>10253416</v>
      </c>
      <c r="BB19" s="71">
        <v>10221644</v>
      </c>
      <c r="BC19" s="71">
        <v>10200298</v>
      </c>
      <c r="BD19" s="71">
        <v>10174853</v>
      </c>
      <c r="BE19" s="71">
        <v>10142362</v>
      </c>
      <c r="BF19" s="71">
        <v>10116742</v>
      </c>
      <c r="BG19" s="71">
        <v>10097549</v>
      </c>
      <c r="BH19" s="71">
        <v>10076581</v>
      </c>
      <c r="BI19" s="71">
        <v>10066158</v>
      </c>
      <c r="BJ19" s="71">
        <v>10045401</v>
      </c>
      <c r="BK19" s="71">
        <v>10029873</v>
      </c>
    </row>
    <row r="20" spans="1:63" ht="12" customHeight="1">
      <c r="A20" s="30" t="s">
        <v>51</v>
      </c>
      <c r="B20" s="19" t="s">
        <v>52</v>
      </c>
      <c r="C20" s="19" t="s">
        <v>233</v>
      </c>
      <c r="D20" s="71">
        <v>141042</v>
      </c>
      <c r="E20" s="71">
        <v>144293</v>
      </c>
      <c r="F20" s="71">
        <v>146540</v>
      </c>
      <c r="G20" s="71">
        <v>148978</v>
      </c>
      <c r="H20" s="71">
        <v>152506</v>
      </c>
      <c r="I20" s="71">
        <v>156033</v>
      </c>
      <c r="J20" s="71">
        <v>159480</v>
      </c>
      <c r="K20" s="71">
        <v>162700</v>
      </c>
      <c r="L20" s="71">
        <v>166831</v>
      </c>
      <c r="M20" s="71">
        <v>170156</v>
      </c>
      <c r="N20" s="71">
        <v>173855</v>
      </c>
      <c r="O20" s="71">
        <v>177292</v>
      </c>
      <c r="P20" s="71">
        <v>180765</v>
      </c>
      <c r="Q20" s="71">
        <v>183991</v>
      </c>
      <c r="R20" s="71">
        <v>187314</v>
      </c>
      <c r="S20" s="71">
        <v>190652</v>
      </c>
      <c r="T20" s="71">
        <v>193919</v>
      </c>
      <c r="U20" s="71">
        <v>197221</v>
      </c>
      <c r="V20" s="71">
        <v>200281</v>
      </c>
      <c r="W20" s="71">
        <v>202695</v>
      </c>
      <c r="X20" s="71">
        <v>204042</v>
      </c>
      <c r="Y20" s="71">
        <v>204834</v>
      </c>
      <c r="Z20" s="71">
        <v>207361</v>
      </c>
      <c r="AA20" s="71">
        <v>210912</v>
      </c>
      <c r="AB20" s="71">
        <v>213722</v>
      </c>
      <c r="AC20" s="71">
        <v>216695</v>
      </c>
      <c r="AD20" s="71">
        <v>219262</v>
      </c>
      <c r="AE20" s="71">
        <v>221046</v>
      </c>
      <c r="AF20" s="71">
        <v>222552</v>
      </c>
      <c r="AG20" s="71">
        <v>224522</v>
      </c>
      <c r="AH20" s="71">
        <v>226948</v>
      </c>
      <c r="AI20" s="71">
        <v>229327</v>
      </c>
      <c r="AJ20" s="71">
        <v>232182</v>
      </c>
      <c r="AK20" s="71">
        <v>235537</v>
      </c>
      <c r="AL20" s="71">
        <v>238416</v>
      </c>
      <c r="AM20" s="71">
        <v>240606</v>
      </c>
      <c r="AN20" s="71">
        <v>242203</v>
      </c>
      <c r="AO20" s="71">
        <v>244157</v>
      </c>
      <c r="AP20" s="71">
        <v>247561</v>
      </c>
      <c r="AQ20" s="71">
        <v>251919</v>
      </c>
      <c r="AR20" s="71">
        <v>253785</v>
      </c>
      <c r="AS20" s="71">
        <v>255866</v>
      </c>
      <c r="AT20" s="71">
        <v>259727</v>
      </c>
      <c r="AU20" s="71">
        <v>262386</v>
      </c>
      <c r="AV20" s="71">
        <v>265064</v>
      </c>
      <c r="AW20" s="71">
        <v>266978</v>
      </c>
      <c r="AX20" s="71">
        <v>267958</v>
      </c>
      <c r="AY20" s="71">
        <v>269874</v>
      </c>
      <c r="AZ20" s="71">
        <v>272381</v>
      </c>
      <c r="BA20" s="71">
        <v>275712</v>
      </c>
      <c r="BB20" s="71">
        <v>279049</v>
      </c>
      <c r="BC20" s="71">
        <v>283361</v>
      </c>
      <c r="BD20" s="71">
        <v>286575</v>
      </c>
      <c r="BE20" s="71">
        <v>288471</v>
      </c>
      <c r="BF20" s="71">
        <v>290570</v>
      </c>
      <c r="BG20" s="71">
        <v>293577</v>
      </c>
      <c r="BH20" s="71">
        <v>299891</v>
      </c>
      <c r="BI20" s="71">
        <v>307672</v>
      </c>
      <c r="BJ20" s="71">
        <v>313376</v>
      </c>
      <c r="BK20" s="71">
        <v>320543</v>
      </c>
    </row>
    <row r="21" spans="1:63" ht="12" customHeight="1">
      <c r="A21" s="30" t="s">
        <v>49</v>
      </c>
      <c r="B21" s="19" t="s">
        <v>50</v>
      </c>
      <c r="C21" s="19" t="s">
        <v>232</v>
      </c>
      <c r="D21" s="71">
        <v>2969000</v>
      </c>
      <c r="E21" s="71">
        <v>2961800</v>
      </c>
      <c r="F21" s="71">
        <v>2954500</v>
      </c>
      <c r="G21" s="71">
        <v>2949900</v>
      </c>
      <c r="H21" s="71">
        <v>2943100</v>
      </c>
      <c r="I21" s="71">
        <v>2926000</v>
      </c>
      <c r="J21" s="71">
        <v>2904100</v>
      </c>
      <c r="K21" s="71">
        <v>2888500</v>
      </c>
      <c r="L21" s="71">
        <v>2860800</v>
      </c>
      <c r="M21" s="71">
        <v>2847400</v>
      </c>
      <c r="N21" s="71">
        <v>2835500</v>
      </c>
      <c r="O21" s="71">
        <v>2821700</v>
      </c>
      <c r="P21" s="71">
        <v>2827100</v>
      </c>
      <c r="Q21" s="71">
        <v>2845000</v>
      </c>
      <c r="R21" s="71">
        <v>2860300</v>
      </c>
      <c r="S21" s="71">
        <v>2872800</v>
      </c>
      <c r="T21" s="71">
        <v>2881800</v>
      </c>
      <c r="U21" s="71">
        <v>2895800</v>
      </c>
      <c r="V21" s="71">
        <v>2909100</v>
      </c>
      <c r="W21" s="71">
        <v>2922000</v>
      </c>
      <c r="X21" s="71">
        <v>2943300</v>
      </c>
      <c r="Y21" s="71">
        <v>2971200</v>
      </c>
      <c r="Z21" s="71">
        <v>3012900</v>
      </c>
      <c r="AA21" s="71">
        <v>3060800</v>
      </c>
      <c r="AB21" s="71">
        <v>3111100</v>
      </c>
      <c r="AC21" s="71">
        <v>3163900</v>
      </c>
      <c r="AD21" s="71">
        <v>3215200</v>
      </c>
      <c r="AE21" s="71">
        <v>3260900</v>
      </c>
      <c r="AF21" s="71">
        <v>3303500</v>
      </c>
      <c r="AG21" s="71">
        <v>3354700</v>
      </c>
      <c r="AH21" s="71">
        <v>3392800</v>
      </c>
      <c r="AI21" s="71">
        <v>3432800</v>
      </c>
      <c r="AJ21" s="71">
        <v>3473200</v>
      </c>
      <c r="AK21" s="71">
        <v>3498400</v>
      </c>
      <c r="AL21" s="71">
        <v>3522800</v>
      </c>
      <c r="AM21" s="71">
        <v>3542046</v>
      </c>
      <c r="AN21" s="71">
        <v>3534117</v>
      </c>
      <c r="AO21" s="71">
        <v>3545263</v>
      </c>
      <c r="AP21" s="71">
        <v>3534850</v>
      </c>
      <c r="AQ21" s="71">
        <v>3515048</v>
      </c>
      <c r="AR21" s="71">
        <v>3506970</v>
      </c>
      <c r="AS21" s="71">
        <v>3520977</v>
      </c>
      <c r="AT21" s="71">
        <v>3547492</v>
      </c>
      <c r="AU21" s="71">
        <v>3569367</v>
      </c>
      <c r="AV21" s="71">
        <v>3583154</v>
      </c>
      <c r="AW21" s="71">
        <v>3597617</v>
      </c>
      <c r="AX21" s="71">
        <v>3620065</v>
      </c>
      <c r="AY21" s="71">
        <v>3654955</v>
      </c>
      <c r="AZ21" s="71">
        <v>3693582</v>
      </c>
      <c r="BA21" s="71">
        <v>3732201</v>
      </c>
      <c r="BB21" s="71">
        <v>3777763</v>
      </c>
      <c r="BC21" s="71">
        <v>3832973</v>
      </c>
      <c r="BD21" s="71">
        <v>3899876</v>
      </c>
      <c r="BE21" s="71">
        <v>3963665</v>
      </c>
      <c r="BF21" s="71">
        <v>4027732</v>
      </c>
      <c r="BG21" s="71">
        <v>4109173</v>
      </c>
      <c r="BH21" s="71">
        <v>4209019</v>
      </c>
      <c r="BI21" s="71">
        <v>4312526</v>
      </c>
      <c r="BJ21" s="71">
        <v>4401335</v>
      </c>
      <c r="BK21" s="71">
        <v>4517758</v>
      </c>
    </row>
    <row r="22" spans="1:63" ht="12" customHeight="1">
      <c r="A22" s="30" t="s">
        <v>53</v>
      </c>
      <c r="B22" s="19" t="s">
        <v>54</v>
      </c>
      <c r="C22" s="19" t="s">
        <v>232</v>
      </c>
      <c r="D22" s="71">
        <v>47101</v>
      </c>
      <c r="E22" s="71" t="s">
        <v>85</v>
      </c>
      <c r="F22" s="71">
        <v>47538900</v>
      </c>
      <c r="G22" s="71">
        <v>47792100</v>
      </c>
      <c r="H22" s="71">
        <v>48122600</v>
      </c>
      <c r="I22" s="71">
        <v>48476700</v>
      </c>
      <c r="J22" s="71">
        <v>48788500</v>
      </c>
      <c r="K22" s="71">
        <v>49053600</v>
      </c>
      <c r="L22" s="71">
        <v>49312700</v>
      </c>
      <c r="M22" s="71">
        <v>49640100</v>
      </c>
      <c r="N22" s="71">
        <v>50025500</v>
      </c>
      <c r="O22" s="71">
        <v>50373900</v>
      </c>
      <c r="P22" s="71">
        <v>50698800</v>
      </c>
      <c r="Q22" s="71">
        <v>51060100</v>
      </c>
      <c r="R22" s="71">
        <v>51443900</v>
      </c>
      <c r="S22" s="71">
        <v>51906800</v>
      </c>
      <c r="T22" s="71">
        <v>52317900</v>
      </c>
      <c r="U22" s="71">
        <v>52720100</v>
      </c>
      <c r="V22" s="71">
        <v>53080900</v>
      </c>
      <c r="W22" s="71">
        <v>53390600</v>
      </c>
      <c r="X22" s="71">
        <v>53685300</v>
      </c>
      <c r="Y22" s="71">
        <v>53958400</v>
      </c>
      <c r="Z22" s="71">
        <v>54188579</v>
      </c>
      <c r="AA22" s="71">
        <v>54574111</v>
      </c>
      <c r="AB22" s="71">
        <v>54928700</v>
      </c>
      <c r="AC22" s="71">
        <v>55293036</v>
      </c>
      <c r="AD22" s="71">
        <v>55588966</v>
      </c>
      <c r="AE22" s="71">
        <v>55847553</v>
      </c>
      <c r="AF22" s="71">
        <v>56063269</v>
      </c>
      <c r="AG22" s="71">
        <v>56247017</v>
      </c>
      <c r="AH22" s="71">
        <v>56388480</v>
      </c>
      <c r="AI22" s="71">
        <v>56479285</v>
      </c>
      <c r="AJ22" s="71">
        <v>56524064</v>
      </c>
      <c r="AK22" s="71">
        <v>56563031</v>
      </c>
      <c r="AL22" s="71">
        <v>56565117</v>
      </c>
      <c r="AM22" s="71">
        <v>56588319</v>
      </c>
      <c r="AN22" s="71">
        <v>56597823</v>
      </c>
      <c r="AO22" s="71">
        <v>56594487</v>
      </c>
      <c r="AP22" s="71">
        <v>56609375</v>
      </c>
      <c r="AQ22" s="71">
        <v>56649201</v>
      </c>
      <c r="AR22" s="71">
        <v>56694360</v>
      </c>
      <c r="AS22" s="71">
        <v>56744119</v>
      </c>
      <c r="AT22" s="71">
        <v>56772923</v>
      </c>
      <c r="AU22" s="71">
        <v>56821250</v>
      </c>
      <c r="AV22" s="71">
        <v>56842392</v>
      </c>
      <c r="AW22" s="71">
        <v>56844408</v>
      </c>
      <c r="AX22" s="71">
        <v>56844197</v>
      </c>
      <c r="AY22" s="71">
        <v>56876364</v>
      </c>
      <c r="AZ22" s="71">
        <v>56904379</v>
      </c>
      <c r="BA22" s="71">
        <v>56909109</v>
      </c>
      <c r="BB22" s="71">
        <v>56923524</v>
      </c>
      <c r="BC22" s="71">
        <v>56960692</v>
      </c>
      <c r="BD22" s="71">
        <v>56993742</v>
      </c>
      <c r="BE22" s="71">
        <v>57321070</v>
      </c>
      <c r="BF22" s="71">
        <v>57888245</v>
      </c>
      <c r="BG22" s="71">
        <v>58462375</v>
      </c>
      <c r="BH22" s="71">
        <v>58751711</v>
      </c>
      <c r="BI22" s="71">
        <v>59131287</v>
      </c>
      <c r="BJ22" s="71">
        <v>59619290</v>
      </c>
      <c r="BK22" s="71">
        <v>60090430</v>
      </c>
    </row>
    <row r="23" spans="1:63" ht="12" customHeight="1">
      <c r="A23" s="30" t="s">
        <v>59</v>
      </c>
      <c r="B23" s="19" t="s">
        <v>60</v>
      </c>
      <c r="C23" s="19" t="s">
        <v>233</v>
      </c>
      <c r="D23" s="71" t="s">
        <v>85</v>
      </c>
      <c r="E23" s="71" t="s">
        <v>85</v>
      </c>
      <c r="F23" s="71" t="s">
        <v>85</v>
      </c>
      <c r="G23" s="71" t="s">
        <v>85</v>
      </c>
      <c r="H23" s="71" t="s">
        <v>85</v>
      </c>
      <c r="I23" s="71" t="s">
        <v>85</v>
      </c>
      <c r="J23" s="71" t="s">
        <v>85</v>
      </c>
      <c r="K23" s="71" t="s">
        <v>85</v>
      </c>
      <c r="L23" s="71" t="s">
        <v>85</v>
      </c>
      <c r="M23" s="71">
        <v>2093458</v>
      </c>
      <c r="N23" s="71">
        <v>2104128</v>
      </c>
      <c r="O23" s="71">
        <v>2137830</v>
      </c>
      <c r="P23" s="71">
        <v>2167531</v>
      </c>
      <c r="Q23" s="71">
        <v>2195640</v>
      </c>
      <c r="R23" s="71">
        <v>2226198</v>
      </c>
      <c r="S23" s="71">
        <v>2255048</v>
      </c>
      <c r="T23" s="71">
        <v>2276789</v>
      </c>
      <c r="U23" s="71">
        <v>2289645</v>
      </c>
      <c r="V23" s="71">
        <v>2312795</v>
      </c>
      <c r="W23" s="71">
        <v>2334443</v>
      </c>
      <c r="X23" s="71">
        <v>2351903</v>
      </c>
      <c r="Y23" s="71">
        <v>2366424</v>
      </c>
      <c r="Z23" s="71">
        <v>2386353</v>
      </c>
      <c r="AA23" s="71">
        <v>2404995</v>
      </c>
      <c r="AB23" s="71">
        <v>2426642</v>
      </c>
      <c r="AC23" s="71">
        <v>2447730</v>
      </c>
      <c r="AD23" s="71">
        <v>2464529</v>
      </c>
      <c r="AE23" s="71">
        <v>2477449</v>
      </c>
      <c r="AF23" s="71">
        <v>2492697</v>
      </c>
      <c r="AG23" s="71">
        <v>2503145</v>
      </c>
      <c r="AH23" s="71">
        <v>2508761</v>
      </c>
      <c r="AI23" s="71">
        <v>2514640</v>
      </c>
      <c r="AJ23" s="71">
        <v>2524202</v>
      </c>
      <c r="AK23" s="71">
        <v>2537958</v>
      </c>
      <c r="AL23" s="71">
        <v>2554063</v>
      </c>
      <c r="AM23" s="71">
        <v>2570030</v>
      </c>
      <c r="AN23" s="71">
        <v>2587716</v>
      </c>
      <c r="AO23" s="71">
        <v>2612068</v>
      </c>
      <c r="AP23" s="71">
        <v>2641097</v>
      </c>
      <c r="AQ23" s="71">
        <v>2665770</v>
      </c>
      <c r="AR23" s="71">
        <v>2668140</v>
      </c>
      <c r="AS23" s="71">
        <v>2658161</v>
      </c>
      <c r="AT23" s="71">
        <v>2643000</v>
      </c>
      <c r="AU23" s="71">
        <v>2585675</v>
      </c>
      <c r="AV23" s="71">
        <v>2540904</v>
      </c>
      <c r="AW23" s="71">
        <v>2500580</v>
      </c>
      <c r="AX23" s="71">
        <v>2469531</v>
      </c>
      <c r="AY23" s="71">
        <v>2444912</v>
      </c>
      <c r="AZ23" s="71">
        <v>2420789</v>
      </c>
      <c r="BA23" s="71">
        <v>2399248</v>
      </c>
      <c r="BB23" s="71">
        <v>2381715</v>
      </c>
      <c r="BC23" s="71">
        <v>2364254</v>
      </c>
      <c r="BD23" s="71">
        <v>2345768</v>
      </c>
      <c r="BE23" s="71">
        <v>2331480</v>
      </c>
      <c r="BF23" s="71">
        <v>2319203</v>
      </c>
      <c r="BG23" s="71">
        <v>2306434</v>
      </c>
      <c r="BH23" s="71">
        <v>2294590</v>
      </c>
      <c r="BI23" s="71">
        <v>2281305</v>
      </c>
      <c r="BJ23" s="71">
        <v>2270894</v>
      </c>
      <c r="BK23" s="71">
        <v>2261132</v>
      </c>
    </row>
    <row r="24" spans="1:63" ht="12" customHeight="1">
      <c r="A24" s="30" t="s">
        <v>55</v>
      </c>
      <c r="B24" s="19" t="s">
        <v>87</v>
      </c>
      <c r="C24" s="19" t="s">
        <v>233</v>
      </c>
      <c r="D24" s="71" t="s">
        <v>85</v>
      </c>
      <c r="E24" s="71" t="s">
        <v>85</v>
      </c>
      <c r="F24" s="71" t="s">
        <v>85</v>
      </c>
      <c r="G24" s="71" t="s">
        <v>85</v>
      </c>
      <c r="H24" s="71" t="s">
        <v>85</v>
      </c>
      <c r="I24" s="71" t="s">
        <v>85</v>
      </c>
      <c r="J24" s="71" t="s">
        <v>85</v>
      </c>
      <c r="K24" s="71" t="s">
        <v>85</v>
      </c>
      <c r="L24" s="71" t="s">
        <v>85</v>
      </c>
      <c r="M24" s="71" t="s">
        <v>85</v>
      </c>
      <c r="N24" s="71">
        <v>2755600</v>
      </c>
      <c r="O24" s="71">
        <v>2801500</v>
      </c>
      <c r="P24" s="71">
        <v>2845600</v>
      </c>
      <c r="Q24" s="71">
        <v>2881100</v>
      </c>
      <c r="R24" s="71">
        <v>2916800</v>
      </c>
      <c r="S24" s="71">
        <v>2953600</v>
      </c>
      <c r="T24" s="71">
        <v>2989300</v>
      </c>
      <c r="U24" s="71">
        <v>3026800</v>
      </c>
      <c r="V24" s="71">
        <v>3062000</v>
      </c>
      <c r="W24" s="71">
        <v>3095700</v>
      </c>
      <c r="X24" s="71">
        <v>3118941</v>
      </c>
      <c r="Y24" s="71">
        <v>3160437</v>
      </c>
      <c r="Z24" s="71">
        <v>3197645</v>
      </c>
      <c r="AA24" s="71">
        <v>3229598</v>
      </c>
      <c r="AB24" s="71">
        <v>3259277</v>
      </c>
      <c r="AC24" s="71">
        <v>3288510</v>
      </c>
      <c r="AD24" s="71">
        <v>3314794</v>
      </c>
      <c r="AE24" s="71">
        <v>3342533</v>
      </c>
      <c r="AF24" s="71">
        <v>3367538</v>
      </c>
      <c r="AG24" s="71">
        <v>3391490</v>
      </c>
      <c r="AH24" s="71">
        <v>3404194</v>
      </c>
      <c r="AI24" s="71">
        <v>3422210</v>
      </c>
      <c r="AJ24" s="71">
        <v>3443684</v>
      </c>
      <c r="AK24" s="71">
        <v>3470673</v>
      </c>
      <c r="AL24" s="71">
        <v>3499711</v>
      </c>
      <c r="AM24" s="71">
        <v>3528698</v>
      </c>
      <c r="AN24" s="71">
        <v>3560388</v>
      </c>
      <c r="AO24" s="71">
        <v>3597439</v>
      </c>
      <c r="AP24" s="71">
        <v>3635295</v>
      </c>
      <c r="AQ24" s="71">
        <v>3674802</v>
      </c>
      <c r="AR24" s="71">
        <v>3693708</v>
      </c>
      <c r="AS24" s="71">
        <v>3701968</v>
      </c>
      <c r="AT24" s="71">
        <v>3706299</v>
      </c>
      <c r="AU24" s="71">
        <v>3693929</v>
      </c>
      <c r="AV24" s="71">
        <v>3671296</v>
      </c>
      <c r="AW24" s="71">
        <v>3642991</v>
      </c>
      <c r="AX24" s="71">
        <v>3615212</v>
      </c>
      <c r="AY24" s="71">
        <v>3588013</v>
      </c>
      <c r="AZ24" s="71">
        <v>3562261</v>
      </c>
      <c r="BA24" s="71">
        <v>3536401</v>
      </c>
      <c r="BB24" s="71">
        <v>3512074</v>
      </c>
      <c r="BC24" s="71">
        <v>3486998</v>
      </c>
      <c r="BD24" s="71">
        <v>3475586</v>
      </c>
      <c r="BE24" s="71">
        <v>3462553</v>
      </c>
      <c r="BF24" s="71">
        <v>3445857</v>
      </c>
      <c r="BG24" s="71">
        <v>3425324</v>
      </c>
      <c r="BH24" s="71">
        <v>3403284</v>
      </c>
      <c r="BI24" s="71">
        <v>3384879</v>
      </c>
      <c r="BJ24" s="71">
        <v>3366357</v>
      </c>
      <c r="BK24" s="71">
        <v>3350385</v>
      </c>
    </row>
    <row r="25" spans="1:63" ht="12" customHeight="1">
      <c r="A25" s="30" t="s">
        <v>57</v>
      </c>
      <c r="B25" s="19" t="s">
        <v>97</v>
      </c>
      <c r="C25" s="19" t="s">
        <v>232</v>
      </c>
      <c r="D25" s="71">
        <v>294668</v>
      </c>
      <c r="E25" s="71">
        <v>295506</v>
      </c>
      <c r="F25" s="71">
        <v>298344</v>
      </c>
      <c r="G25" s="71">
        <v>300182</v>
      </c>
      <c r="H25" s="71">
        <v>302020</v>
      </c>
      <c r="I25" s="71">
        <v>303858</v>
      </c>
      <c r="J25" s="71">
        <v>305696</v>
      </c>
      <c r="K25" s="71">
        <v>307534</v>
      </c>
      <c r="L25" s="71">
        <v>309372</v>
      </c>
      <c r="M25" s="71">
        <v>311210</v>
      </c>
      <c r="N25" s="71">
        <v>313050</v>
      </c>
      <c r="O25" s="71">
        <v>314889</v>
      </c>
      <c r="P25" s="71">
        <v>318800</v>
      </c>
      <c r="Q25" s="71">
        <v>322700</v>
      </c>
      <c r="R25" s="71">
        <v>325500</v>
      </c>
      <c r="S25" s="71">
        <v>330000</v>
      </c>
      <c r="T25" s="71">
        <v>333000</v>
      </c>
      <c r="U25" s="71">
        <v>334790</v>
      </c>
      <c r="V25" s="71">
        <v>335200</v>
      </c>
      <c r="W25" s="71">
        <v>336500</v>
      </c>
      <c r="X25" s="71">
        <v>338500</v>
      </c>
      <c r="Y25" s="71">
        <v>339841</v>
      </c>
      <c r="Z25" s="71">
        <v>345000</v>
      </c>
      <c r="AA25" s="71">
        <v>348200</v>
      </c>
      <c r="AB25" s="71">
        <v>352700</v>
      </c>
      <c r="AC25" s="71">
        <v>357400</v>
      </c>
      <c r="AD25" s="71">
        <v>360500</v>
      </c>
      <c r="AE25" s="71">
        <v>360962</v>
      </c>
      <c r="AF25" s="71">
        <v>361753</v>
      </c>
      <c r="AG25" s="71">
        <v>362261</v>
      </c>
      <c r="AH25" s="71">
        <v>363450</v>
      </c>
      <c r="AI25" s="71">
        <v>364850</v>
      </c>
      <c r="AJ25" s="71">
        <v>365600</v>
      </c>
      <c r="AK25" s="71">
        <v>365450</v>
      </c>
      <c r="AL25" s="71">
        <v>365794</v>
      </c>
      <c r="AM25" s="71">
        <v>366202</v>
      </c>
      <c r="AN25" s="71">
        <v>367210</v>
      </c>
      <c r="AO25" s="71">
        <v>369500</v>
      </c>
      <c r="AP25" s="71">
        <v>372000</v>
      </c>
      <c r="AQ25" s="71">
        <v>374900</v>
      </c>
      <c r="AR25" s="71">
        <v>379300</v>
      </c>
      <c r="AS25" s="71">
        <v>384400</v>
      </c>
      <c r="AT25" s="71">
        <v>389600</v>
      </c>
      <c r="AU25" s="71">
        <v>394750</v>
      </c>
      <c r="AV25" s="71">
        <v>400200</v>
      </c>
      <c r="AW25" s="71">
        <v>405650</v>
      </c>
      <c r="AX25" s="71">
        <v>411600</v>
      </c>
      <c r="AY25" s="71">
        <v>416850</v>
      </c>
      <c r="AZ25" s="71">
        <v>422050</v>
      </c>
      <c r="BA25" s="71">
        <v>427350</v>
      </c>
      <c r="BB25" s="71">
        <v>433600</v>
      </c>
      <c r="BC25" s="71">
        <v>439000</v>
      </c>
      <c r="BD25" s="71">
        <v>444050</v>
      </c>
      <c r="BE25" s="71">
        <v>448300</v>
      </c>
      <c r="BF25" s="71">
        <v>454960</v>
      </c>
      <c r="BG25" s="71">
        <v>461230</v>
      </c>
      <c r="BH25" s="71">
        <v>469086</v>
      </c>
      <c r="BI25" s="71">
        <v>476187</v>
      </c>
      <c r="BJ25" s="71">
        <v>483799</v>
      </c>
      <c r="BK25" s="71">
        <v>491702</v>
      </c>
    </row>
    <row r="26" spans="1:63" ht="12" customHeight="1">
      <c r="A26" s="30" t="s">
        <v>61</v>
      </c>
      <c r="B26" s="19" t="s">
        <v>62</v>
      </c>
      <c r="C26" s="19" t="s">
        <v>233</v>
      </c>
      <c r="D26" s="71" t="s">
        <v>85</v>
      </c>
      <c r="E26" s="71" t="s">
        <v>85</v>
      </c>
      <c r="F26" s="71" t="s">
        <v>85</v>
      </c>
      <c r="G26" s="71" t="s">
        <v>85</v>
      </c>
      <c r="H26" s="71" t="s">
        <v>85</v>
      </c>
      <c r="I26" s="71" t="s">
        <v>85</v>
      </c>
      <c r="J26" s="71" t="s">
        <v>85</v>
      </c>
      <c r="K26" s="71" t="s">
        <v>85</v>
      </c>
      <c r="L26" s="71" t="s">
        <v>85</v>
      </c>
      <c r="M26" s="71" t="s">
        <v>85</v>
      </c>
      <c r="N26" s="71">
        <v>327200</v>
      </c>
      <c r="O26" s="71">
        <v>325900</v>
      </c>
      <c r="P26" s="71">
        <v>324600</v>
      </c>
      <c r="Q26" s="71">
        <v>323200</v>
      </c>
      <c r="R26" s="71">
        <v>321900</v>
      </c>
      <c r="S26" s="71">
        <v>320600</v>
      </c>
      <c r="T26" s="71">
        <v>317000</v>
      </c>
      <c r="U26" s="71">
        <v>313400</v>
      </c>
      <c r="V26" s="71">
        <v>309700</v>
      </c>
      <c r="W26" s="71">
        <v>306100</v>
      </c>
      <c r="X26" s="71">
        <v>302500</v>
      </c>
      <c r="Y26" s="71">
        <v>302800</v>
      </c>
      <c r="Z26" s="71">
        <v>302600</v>
      </c>
      <c r="AA26" s="71">
        <v>302300</v>
      </c>
      <c r="AB26" s="71">
        <v>302100</v>
      </c>
      <c r="AC26" s="71">
        <v>301892</v>
      </c>
      <c r="AD26" s="71">
        <v>306551</v>
      </c>
      <c r="AE26" s="71">
        <v>304997</v>
      </c>
      <c r="AF26" s="71">
        <v>308942</v>
      </c>
      <c r="AG26" s="71">
        <v>311421</v>
      </c>
      <c r="AH26" s="71">
        <v>315262</v>
      </c>
      <c r="AI26" s="71">
        <v>318028</v>
      </c>
      <c r="AJ26" s="71">
        <v>319936</v>
      </c>
      <c r="AK26" s="71">
        <v>331859</v>
      </c>
      <c r="AL26" s="71">
        <v>329189</v>
      </c>
      <c r="AM26" s="71">
        <v>331997</v>
      </c>
      <c r="AN26" s="71">
        <v>340907</v>
      </c>
      <c r="AO26" s="71">
        <v>343334</v>
      </c>
      <c r="AP26" s="71">
        <v>345636</v>
      </c>
      <c r="AQ26" s="71">
        <v>349014</v>
      </c>
      <c r="AR26" s="71">
        <v>352430</v>
      </c>
      <c r="AS26" s="71">
        <v>355910</v>
      </c>
      <c r="AT26" s="71">
        <v>359543</v>
      </c>
      <c r="AU26" s="71">
        <v>362977</v>
      </c>
      <c r="AV26" s="71">
        <v>366431</v>
      </c>
      <c r="AW26" s="71">
        <v>369451</v>
      </c>
      <c r="AX26" s="71">
        <v>371415</v>
      </c>
      <c r="AY26" s="71">
        <v>373958</v>
      </c>
      <c r="AZ26" s="71">
        <v>376513</v>
      </c>
      <c r="BA26" s="71">
        <v>378518</v>
      </c>
      <c r="BB26" s="71">
        <v>380201</v>
      </c>
      <c r="BC26" s="71">
        <v>391415</v>
      </c>
      <c r="BD26" s="71">
        <v>394641</v>
      </c>
      <c r="BE26" s="71">
        <v>397296</v>
      </c>
      <c r="BF26" s="71">
        <v>399867</v>
      </c>
      <c r="BG26" s="71">
        <v>402668</v>
      </c>
      <c r="BH26" s="71">
        <v>405006</v>
      </c>
      <c r="BI26" s="71">
        <v>407810</v>
      </c>
      <c r="BJ26" s="71">
        <v>410290</v>
      </c>
      <c r="BK26" s="71">
        <v>412614</v>
      </c>
    </row>
    <row r="27" spans="1:63" ht="12" customHeight="1">
      <c r="A27" s="30" t="s">
        <v>63</v>
      </c>
      <c r="B27" s="19" t="s">
        <v>64</v>
      </c>
      <c r="C27" s="19" t="s">
        <v>232</v>
      </c>
      <c r="D27" s="71">
        <v>10026773</v>
      </c>
      <c r="E27" s="71">
        <v>10200280</v>
      </c>
      <c r="F27" s="71">
        <v>10328343</v>
      </c>
      <c r="G27" s="71">
        <v>10435631</v>
      </c>
      <c r="H27" s="71">
        <v>10550737</v>
      </c>
      <c r="I27" s="71">
        <v>10680023</v>
      </c>
      <c r="J27" s="71">
        <v>10821661</v>
      </c>
      <c r="K27" s="71">
        <v>10957040</v>
      </c>
      <c r="L27" s="71">
        <v>11095726</v>
      </c>
      <c r="M27" s="71">
        <v>11278024</v>
      </c>
      <c r="N27" s="71">
        <v>11417254</v>
      </c>
      <c r="O27" s="71">
        <v>11556008</v>
      </c>
      <c r="P27" s="71">
        <v>11721416</v>
      </c>
      <c r="Q27" s="71">
        <v>11889962</v>
      </c>
      <c r="R27" s="71">
        <v>12041970</v>
      </c>
      <c r="S27" s="71">
        <v>12212269</v>
      </c>
      <c r="T27" s="71">
        <v>12377194</v>
      </c>
      <c r="U27" s="71">
        <v>12535307</v>
      </c>
      <c r="V27" s="71">
        <v>12661095</v>
      </c>
      <c r="W27" s="71">
        <v>12798346</v>
      </c>
      <c r="X27" s="71">
        <v>12957621</v>
      </c>
      <c r="Y27" s="71">
        <v>13119430</v>
      </c>
      <c r="Z27" s="71">
        <v>13269563</v>
      </c>
      <c r="AA27" s="71">
        <v>13387623</v>
      </c>
      <c r="AB27" s="71">
        <v>13491020</v>
      </c>
      <c r="AC27" s="71">
        <v>13599092</v>
      </c>
      <c r="AD27" s="71">
        <v>13733578</v>
      </c>
      <c r="AE27" s="71">
        <v>13814495</v>
      </c>
      <c r="AF27" s="71">
        <v>13897874</v>
      </c>
      <c r="AG27" s="71">
        <v>13985526</v>
      </c>
      <c r="AH27" s="71">
        <v>14091014</v>
      </c>
      <c r="AI27" s="71">
        <v>14208586</v>
      </c>
      <c r="AJ27" s="71">
        <v>14285829</v>
      </c>
      <c r="AK27" s="71">
        <v>14339551</v>
      </c>
      <c r="AL27" s="71">
        <v>14394589</v>
      </c>
      <c r="AM27" s="71">
        <v>14453833</v>
      </c>
      <c r="AN27" s="71">
        <v>14529430</v>
      </c>
      <c r="AO27" s="71">
        <v>14615125</v>
      </c>
      <c r="AP27" s="71">
        <v>14714948</v>
      </c>
      <c r="AQ27" s="71">
        <v>14805240</v>
      </c>
      <c r="AR27" s="71">
        <v>14892574</v>
      </c>
      <c r="AS27" s="71">
        <v>15010445</v>
      </c>
      <c r="AT27" s="71">
        <v>15129150</v>
      </c>
      <c r="AU27" s="71">
        <v>15239182</v>
      </c>
      <c r="AV27" s="71">
        <v>15341553</v>
      </c>
      <c r="AW27" s="71">
        <v>15424122</v>
      </c>
      <c r="AX27" s="71">
        <v>15493889</v>
      </c>
      <c r="AY27" s="71">
        <v>15567107</v>
      </c>
      <c r="AZ27" s="71">
        <v>15654192</v>
      </c>
      <c r="BA27" s="71">
        <v>15760225</v>
      </c>
      <c r="BB27" s="71">
        <v>15863950</v>
      </c>
      <c r="BC27" s="71">
        <v>15987075</v>
      </c>
      <c r="BD27" s="71">
        <v>16105285</v>
      </c>
      <c r="BE27" s="71">
        <v>16192572</v>
      </c>
      <c r="BF27" s="71">
        <v>16258032</v>
      </c>
      <c r="BG27" s="71">
        <v>16305526</v>
      </c>
      <c r="BH27" s="71">
        <v>16334210</v>
      </c>
      <c r="BI27" s="71">
        <v>16357992</v>
      </c>
      <c r="BJ27" s="71">
        <v>16405399</v>
      </c>
      <c r="BK27" s="71">
        <v>16481139</v>
      </c>
    </row>
    <row r="28" spans="1:63" ht="12" customHeight="1">
      <c r="A28" s="30" t="s">
        <v>65</v>
      </c>
      <c r="B28" s="19" t="s">
        <v>66</v>
      </c>
      <c r="C28" s="19" t="s">
        <v>233</v>
      </c>
      <c r="D28" s="71">
        <v>3249954</v>
      </c>
      <c r="E28" s="71">
        <v>3280296</v>
      </c>
      <c r="F28" s="71">
        <v>3311446</v>
      </c>
      <c r="G28" s="71">
        <v>3344010</v>
      </c>
      <c r="H28" s="71">
        <v>3377766</v>
      </c>
      <c r="I28" s="71">
        <v>3410726</v>
      </c>
      <c r="J28" s="71">
        <v>3445673</v>
      </c>
      <c r="K28" s="71">
        <v>3475890</v>
      </c>
      <c r="L28" s="71">
        <v>3507986</v>
      </c>
      <c r="M28" s="71">
        <v>3538001</v>
      </c>
      <c r="N28" s="71">
        <v>3567707</v>
      </c>
      <c r="O28" s="71">
        <v>3594771</v>
      </c>
      <c r="P28" s="71">
        <v>3624829</v>
      </c>
      <c r="Q28" s="71">
        <v>3653006</v>
      </c>
      <c r="R28" s="71">
        <v>3680068</v>
      </c>
      <c r="S28" s="71">
        <v>3708609</v>
      </c>
      <c r="T28" s="71">
        <v>3737726</v>
      </c>
      <c r="U28" s="71">
        <v>3768298</v>
      </c>
      <c r="V28" s="71">
        <v>3800780</v>
      </c>
      <c r="W28" s="71">
        <v>3832192</v>
      </c>
      <c r="X28" s="71">
        <v>3863221</v>
      </c>
      <c r="Y28" s="71">
        <v>3888305</v>
      </c>
      <c r="Z28" s="71">
        <v>3917773</v>
      </c>
      <c r="AA28" s="71">
        <v>3948234</v>
      </c>
      <c r="AB28" s="71">
        <v>3972990</v>
      </c>
      <c r="AC28" s="71">
        <v>3997525</v>
      </c>
      <c r="AD28" s="71">
        <v>4017101</v>
      </c>
      <c r="AE28" s="71">
        <v>4035202</v>
      </c>
      <c r="AF28" s="71">
        <v>4051208</v>
      </c>
      <c r="AG28" s="71">
        <v>4066134</v>
      </c>
      <c r="AH28" s="71">
        <v>4078900</v>
      </c>
      <c r="AI28" s="71">
        <v>4092340</v>
      </c>
      <c r="AJ28" s="71">
        <v>4107063</v>
      </c>
      <c r="AK28" s="71">
        <v>4122511</v>
      </c>
      <c r="AL28" s="71">
        <v>4134353</v>
      </c>
      <c r="AM28" s="71">
        <v>4145845</v>
      </c>
      <c r="AN28" s="71">
        <v>4159187</v>
      </c>
      <c r="AO28" s="71">
        <v>4175521</v>
      </c>
      <c r="AP28" s="71">
        <v>4198289</v>
      </c>
      <c r="AQ28" s="71">
        <v>4220686</v>
      </c>
      <c r="AR28" s="71">
        <v>4233116</v>
      </c>
      <c r="AS28" s="71">
        <v>4249830</v>
      </c>
      <c r="AT28" s="71">
        <v>4273634</v>
      </c>
      <c r="AU28" s="71">
        <v>4299167</v>
      </c>
      <c r="AV28" s="71">
        <v>4324815</v>
      </c>
      <c r="AW28" s="71">
        <v>4348410</v>
      </c>
      <c r="AX28" s="71">
        <v>4369957</v>
      </c>
      <c r="AY28" s="71">
        <v>4392714</v>
      </c>
      <c r="AZ28" s="71">
        <v>4417599</v>
      </c>
      <c r="BA28" s="71">
        <v>4445329</v>
      </c>
      <c r="BB28" s="71">
        <v>4478497</v>
      </c>
      <c r="BC28" s="71">
        <v>4503436</v>
      </c>
      <c r="BD28" s="71">
        <v>4524066</v>
      </c>
      <c r="BE28" s="71">
        <v>4552252</v>
      </c>
      <c r="BF28" s="71">
        <v>4577457</v>
      </c>
      <c r="BG28" s="71">
        <v>4606363</v>
      </c>
      <c r="BH28" s="71">
        <v>4640219</v>
      </c>
      <c r="BI28" s="71">
        <v>4681134</v>
      </c>
      <c r="BJ28" s="71">
        <v>4737171</v>
      </c>
      <c r="BK28" s="71">
        <v>4801376</v>
      </c>
    </row>
    <row r="29" spans="1:63" ht="12" customHeight="1">
      <c r="A29" s="30" t="s">
        <v>67</v>
      </c>
      <c r="B29" s="19" t="s">
        <v>68</v>
      </c>
      <c r="C29" s="19" t="s">
        <v>233</v>
      </c>
      <c r="D29" s="71" t="s">
        <v>85</v>
      </c>
      <c r="E29" s="71" t="s">
        <v>85</v>
      </c>
      <c r="F29" s="71" t="s">
        <v>85</v>
      </c>
      <c r="G29" s="71" t="s">
        <v>85</v>
      </c>
      <c r="H29" s="71" t="s">
        <v>85</v>
      </c>
      <c r="I29" s="71" t="s">
        <v>85</v>
      </c>
      <c r="J29" s="71" t="s">
        <v>85</v>
      </c>
      <c r="K29" s="71" t="s">
        <v>85</v>
      </c>
      <c r="L29" s="71" t="s">
        <v>85</v>
      </c>
      <c r="M29" s="71" t="s">
        <v>85</v>
      </c>
      <c r="N29" s="71">
        <v>29479900</v>
      </c>
      <c r="O29" s="71">
        <v>29795000</v>
      </c>
      <c r="P29" s="71">
        <v>30133000</v>
      </c>
      <c r="Q29" s="71">
        <v>30484000</v>
      </c>
      <c r="R29" s="71">
        <v>30940000</v>
      </c>
      <c r="S29" s="71">
        <v>31338900</v>
      </c>
      <c r="T29" s="71">
        <v>31551000</v>
      </c>
      <c r="U29" s="71">
        <v>31811000</v>
      </c>
      <c r="V29" s="71">
        <v>32163310</v>
      </c>
      <c r="W29" s="71">
        <v>32426000</v>
      </c>
      <c r="X29" s="71">
        <v>32670600</v>
      </c>
      <c r="Y29" s="71">
        <v>32658000</v>
      </c>
      <c r="Z29" s="71">
        <v>32909000</v>
      </c>
      <c r="AA29" s="71">
        <v>33202300</v>
      </c>
      <c r="AB29" s="71">
        <v>33512100</v>
      </c>
      <c r="AC29" s="71">
        <v>33845698</v>
      </c>
      <c r="AD29" s="71">
        <v>34184700</v>
      </c>
      <c r="AE29" s="71">
        <v>34527900</v>
      </c>
      <c r="AF29" s="71">
        <v>34850200</v>
      </c>
      <c r="AG29" s="71">
        <v>35081000</v>
      </c>
      <c r="AH29" s="71">
        <v>35413434</v>
      </c>
      <c r="AI29" s="71">
        <v>35734865</v>
      </c>
      <c r="AJ29" s="71">
        <v>36062309</v>
      </c>
      <c r="AK29" s="71">
        <v>36398652</v>
      </c>
      <c r="AL29" s="71">
        <v>36744964</v>
      </c>
      <c r="AM29" s="71">
        <v>37063303</v>
      </c>
      <c r="AN29" s="71">
        <v>37340467</v>
      </c>
      <c r="AO29" s="71">
        <v>37571771</v>
      </c>
      <c r="AP29" s="71">
        <v>37764318</v>
      </c>
      <c r="AQ29" s="71">
        <v>37884655</v>
      </c>
      <c r="AR29" s="71">
        <v>38038403</v>
      </c>
      <c r="AS29" s="71">
        <v>38183160</v>
      </c>
      <c r="AT29" s="71">
        <v>38309226</v>
      </c>
      <c r="AU29" s="71">
        <v>38418108</v>
      </c>
      <c r="AV29" s="71">
        <v>38504707</v>
      </c>
      <c r="AW29" s="71">
        <v>38580597</v>
      </c>
      <c r="AX29" s="71">
        <v>38609399</v>
      </c>
      <c r="AY29" s="71">
        <v>38639341</v>
      </c>
      <c r="AZ29" s="71">
        <v>38659979</v>
      </c>
      <c r="BA29" s="71">
        <v>38666983</v>
      </c>
      <c r="BB29" s="71">
        <v>38653559</v>
      </c>
      <c r="BC29" s="71">
        <v>38253955</v>
      </c>
      <c r="BD29" s="71">
        <v>38242197</v>
      </c>
      <c r="BE29" s="71">
        <v>38218531</v>
      </c>
      <c r="BF29" s="71">
        <v>38190608</v>
      </c>
      <c r="BG29" s="71">
        <v>38173835</v>
      </c>
      <c r="BH29" s="71">
        <v>38157055</v>
      </c>
      <c r="BI29" s="71">
        <v>38125479</v>
      </c>
      <c r="BJ29" s="71">
        <v>38115641</v>
      </c>
      <c r="BK29" s="71">
        <v>38130302</v>
      </c>
    </row>
    <row r="30" spans="1:63" ht="12" customHeight="1">
      <c r="A30" s="30" t="s">
        <v>69</v>
      </c>
      <c r="B30" s="19" t="s">
        <v>70</v>
      </c>
      <c r="C30" s="19" t="s">
        <v>232</v>
      </c>
      <c r="D30" s="71">
        <v>8437030</v>
      </c>
      <c r="E30" s="71">
        <v>8441312</v>
      </c>
      <c r="F30" s="71">
        <v>8545320</v>
      </c>
      <c r="G30" s="71">
        <v>8566850</v>
      </c>
      <c r="H30" s="71">
        <v>8595660</v>
      </c>
      <c r="I30" s="71">
        <v>8615740</v>
      </c>
      <c r="J30" s="71">
        <v>8664910</v>
      </c>
      <c r="K30" s="71">
        <v>8701130</v>
      </c>
      <c r="L30" s="71">
        <v>8724220</v>
      </c>
      <c r="M30" s="71">
        <v>8775650</v>
      </c>
      <c r="N30" s="71">
        <v>8826040</v>
      </c>
      <c r="O30" s="71">
        <v>8889392</v>
      </c>
      <c r="P30" s="71">
        <v>8969240</v>
      </c>
      <c r="Q30" s="71">
        <v>9018730</v>
      </c>
      <c r="R30" s="71">
        <v>9041980</v>
      </c>
      <c r="S30" s="71">
        <v>9028750</v>
      </c>
      <c r="T30" s="71">
        <v>8968440</v>
      </c>
      <c r="U30" s="71">
        <v>8893540</v>
      </c>
      <c r="V30" s="71">
        <v>8855500</v>
      </c>
      <c r="W30" s="71">
        <v>8817800</v>
      </c>
      <c r="X30" s="71">
        <v>8697610</v>
      </c>
      <c r="Y30" s="71">
        <v>8663252</v>
      </c>
      <c r="Z30" s="71">
        <v>8624260</v>
      </c>
      <c r="AA30" s="71">
        <v>8636600</v>
      </c>
      <c r="AB30" s="71">
        <v>8629600</v>
      </c>
      <c r="AC30" s="71">
        <v>8879130</v>
      </c>
      <c r="AD30" s="71">
        <v>9307810</v>
      </c>
      <c r="AE30" s="71">
        <v>9403810</v>
      </c>
      <c r="AF30" s="71">
        <v>9507540</v>
      </c>
      <c r="AG30" s="71">
        <v>9608960</v>
      </c>
      <c r="AH30" s="71">
        <v>9713570</v>
      </c>
      <c r="AI30" s="71">
        <v>9819054</v>
      </c>
      <c r="AJ30" s="71">
        <v>9883670</v>
      </c>
      <c r="AK30" s="71">
        <v>9939871</v>
      </c>
      <c r="AL30" s="71">
        <v>9975859</v>
      </c>
      <c r="AM30" s="71">
        <v>10016605</v>
      </c>
      <c r="AN30" s="71">
        <v>10030621</v>
      </c>
      <c r="AO30" s="71">
        <v>10034846</v>
      </c>
      <c r="AP30" s="71">
        <v>10025215</v>
      </c>
      <c r="AQ30" s="71">
        <v>10014005</v>
      </c>
      <c r="AR30" s="71">
        <v>9995995</v>
      </c>
      <c r="AS30" s="71">
        <v>9970441</v>
      </c>
      <c r="AT30" s="71">
        <v>9965315</v>
      </c>
      <c r="AU30" s="71">
        <v>9974591</v>
      </c>
      <c r="AV30" s="71">
        <v>9990590</v>
      </c>
      <c r="AW30" s="71">
        <v>10017571</v>
      </c>
      <c r="AX30" s="71">
        <v>10043180</v>
      </c>
      <c r="AY30" s="71">
        <v>10072542</v>
      </c>
      <c r="AZ30" s="71">
        <v>10109697</v>
      </c>
      <c r="BA30" s="71">
        <v>10148883</v>
      </c>
      <c r="BB30" s="71">
        <v>10195014</v>
      </c>
      <c r="BC30" s="71">
        <v>10256658</v>
      </c>
      <c r="BD30" s="71">
        <v>10329340</v>
      </c>
      <c r="BE30" s="71">
        <v>10407465</v>
      </c>
      <c r="BF30" s="71">
        <v>10474685</v>
      </c>
      <c r="BG30" s="71">
        <v>10529255</v>
      </c>
      <c r="BH30" s="71">
        <v>10569592</v>
      </c>
      <c r="BI30" s="71">
        <v>10599095</v>
      </c>
      <c r="BJ30" s="71">
        <v>10617575</v>
      </c>
      <c r="BK30" s="71">
        <v>10631800</v>
      </c>
    </row>
    <row r="31" spans="1:63" ht="12" customHeight="1">
      <c r="A31" s="30" t="s">
        <v>71</v>
      </c>
      <c r="B31" s="19" t="s">
        <v>72</v>
      </c>
      <c r="C31" s="19" t="s">
        <v>233</v>
      </c>
      <c r="D31" s="71" t="s">
        <v>85</v>
      </c>
      <c r="E31" s="71" t="s">
        <v>85</v>
      </c>
      <c r="F31" s="71" t="s">
        <v>85</v>
      </c>
      <c r="G31" s="71" t="s">
        <v>85</v>
      </c>
      <c r="H31" s="71" t="s">
        <v>85</v>
      </c>
      <c r="I31" s="71" t="s">
        <v>85</v>
      </c>
      <c r="J31" s="71" t="s">
        <v>85</v>
      </c>
      <c r="K31" s="71" t="s">
        <v>85</v>
      </c>
      <c r="L31" s="71" t="s">
        <v>85</v>
      </c>
      <c r="M31" s="71" t="s">
        <v>85</v>
      </c>
      <c r="N31" s="71">
        <v>18319210</v>
      </c>
      <c r="O31" s="71">
        <v>18494600</v>
      </c>
      <c r="P31" s="71">
        <v>18615900</v>
      </c>
      <c r="Q31" s="71">
        <v>18737200</v>
      </c>
      <c r="R31" s="71">
        <v>18858500</v>
      </c>
      <c r="S31" s="71">
        <v>18979752</v>
      </c>
      <c r="T31" s="71">
        <v>19083400</v>
      </c>
      <c r="U31" s="71">
        <v>19347500</v>
      </c>
      <c r="V31" s="71">
        <v>19720984</v>
      </c>
      <c r="W31" s="71">
        <v>19878678</v>
      </c>
      <c r="X31" s="71">
        <v>20139603</v>
      </c>
      <c r="Y31" s="71">
        <v>20361192</v>
      </c>
      <c r="Z31" s="71">
        <v>20561942</v>
      </c>
      <c r="AA31" s="71">
        <v>20753972</v>
      </c>
      <c r="AB31" s="71">
        <v>20917390</v>
      </c>
      <c r="AC31" s="71">
        <v>21141468</v>
      </c>
      <c r="AD31" s="71">
        <v>21445698</v>
      </c>
      <c r="AE31" s="71">
        <v>21657569</v>
      </c>
      <c r="AF31" s="71">
        <v>21854622</v>
      </c>
      <c r="AG31" s="71">
        <v>22048305</v>
      </c>
      <c r="AH31" s="71">
        <v>22132670</v>
      </c>
      <c r="AI31" s="71">
        <v>22352635</v>
      </c>
      <c r="AJ31" s="71">
        <v>22477703</v>
      </c>
      <c r="AK31" s="71">
        <v>22553074</v>
      </c>
      <c r="AL31" s="71">
        <v>22624505</v>
      </c>
      <c r="AM31" s="71">
        <v>22687374</v>
      </c>
      <c r="AN31" s="71">
        <v>22823479</v>
      </c>
      <c r="AO31" s="71">
        <v>22895058</v>
      </c>
      <c r="AP31" s="71">
        <v>23003802</v>
      </c>
      <c r="AQ31" s="71">
        <v>23111521</v>
      </c>
      <c r="AR31" s="71">
        <v>23211395</v>
      </c>
      <c r="AS31" s="71">
        <v>23192274</v>
      </c>
      <c r="AT31" s="71">
        <v>22810035</v>
      </c>
      <c r="AU31" s="71">
        <v>22778533</v>
      </c>
      <c r="AV31" s="71">
        <v>22748027</v>
      </c>
      <c r="AW31" s="71">
        <v>22712394</v>
      </c>
      <c r="AX31" s="71">
        <v>22656145</v>
      </c>
      <c r="AY31" s="71">
        <v>22581862</v>
      </c>
      <c r="AZ31" s="71">
        <v>22526093</v>
      </c>
      <c r="BA31" s="71">
        <v>22488595</v>
      </c>
      <c r="BB31" s="71">
        <v>22455485</v>
      </c>
      <c r="BC31" s="71">
        <v>22430457</v>
      </c>
      <c r="BD31" s="71">
        <v>21833483</v>
      </c>
      <c r="BE31" s="71">
        <v>21772774</v>
      </c>
      <c r="BF31" s="71">
        <v>21711252</v>
      </c>
      <c r="BG31" s="71">
        <v>21658528</v>
      </c>
      <c r="BH31" s="71">
        <v>21610213</v>
      </c>
      <c r="BI31" s="71">
        <v>21565119</v>
      </c>
      <c r="BJ31" s="71">
        <v>21528627</v>
      </c>
      <c r="BK31" s="71">
        <v>21496664</v>
      </c>
    </row>
    <row r="32" spans="1:63" ht="12" customHeight="1">
      <c r="A32" s="30" t="s">
        <v>77</v>
      </c>
      <c r="B32" s="19" t="s">
        <v>78</v>
      </c>
      <c r="C32" s="19" t="s">
        <v>233</v>
      </c>
      <c r="D32" s="71" t="s">
        <v>85</v>
      </c>
      <c r="E32" s="71" t="s">
        <v>85</v>
      </c>
      <c r="F32" s="71" t="s">
        <v>85</v>
      </c>
      <c r="G32" s="71" t="s">
        <v>85</v>
      </c>
      <c r="H32" s="71" t="s">
        <v>85</v>
      </c>
      <c r="I32" s="71" t="s">
        <v>85</v>
      </c>
      <c r="J32" s="71" t="s">
        <v>85</v>
      </c>
      <c r="K32" s="71" t="s">
        <v>85</v>
      </c>
      <c r="L32" s="71" t="s">
        <v>85</v>
      </c>
      <c r="M32" s="71" t="s">
        <v>85</v>
      </c>
      <c r="N32" s="71">
        <v>3969682</v>
      </c>
      <c r="O32" s="71">
        <v>4166507</v>
      </c>
      <c r="P32" s="71">
        <v>4216827</v>
      </c>
      <c r="Q32" s="71">
        <v>4259549</v>
      </c>
      <c r="R32" s="71">
        <v>4304484</v>
      </c>
      <c r="S32" s="71">
        <v>4350198</v>
      </c>
      <c r="T32" s="71">
        <v>4391768</v>
      </c>
      <c r="U32" s="71">
        <v>4431564</v>
      </c>
      <c r="V32" s="71">
        <v>4467170</v>
      </c>
      <c r="W32" s="71">
        <v>4500659</v>
      </c>
      <c r="X32" s="71">
        <v>4536555</v>
      </c>
      <c r="Y32" s="71">
        <v>4539890</v>
      </c>
      <c r="Z32" s="71">
        <v>4575007</v>
      </c>
      <c r="AA32" s="71">
        <v>4618236</v>
      </c>
      <c r="AB32" s="71">
        <v>4664653</v>
      </c>
      <c r="AC32" s="71">
        <v>4714593</v>
      </c>
      <c r="AD32" s="71">
        <v>4763617</v>
      </c>
      <c r="AE32" s="71">
        <v>4815396</v>
      </c>
      <c r="AF32" s="71">
        <v>4865605</v>
      </c>
      <c r="AG32" s="71">
        <v>4914644</v>
      </c>
      <c r="AH32" s="71">
        <v>4963301</v>
      </c>
      <c r="AI32" s="71">
        <v>4996329</v>
      </c>
      <c r="AJ32" s="71">
        <v>5035881</v>
      </c>
      <c r="AK32" s="71">
        <v>5074316</v>
      </c>
      <c r="AL32" s="71">
        <v>5109626</v>
      </c>
      <c r="AM32" s="71">
        <v>5144568</v>
      </c>
      <c r="AN32" s="71">
        <v>5178967</v>
      </c>
      <c r="AO32" s="71">
        <v>5208708</v>
      </c>
      <c r="AP32" s="71">
        <v>5236972</v>
      </c>
      <c r="AQ32" s="71">
        <v>5264220</v>
      </c>
      <c r="AR32" s="71">
        <v>5287663</v>
      </c>
      <c r="AS32" s="71">
        <v>5310711</v>
      </c>
      <c r="AT32" s="71">
        <v>5295877</v>
      </c>
      <c r="AU32" s="71">
        <v>5314155</v>
      </c>
      <c r="AV32" s="71">
        <v>5336455</v>
      </c>
      <c r="AW32" s="71">
        <v>5356207</v>
      </c>
      <c r="AX32" s="71">
        <v>5367790</v>
      </c>
      <c r="AY32" s="71">
        <v>5378932</v>
      </c>
      <c r="AZ32" s="71">
        <v>5387650</v>
      </c>
      <c r="BA32" s="71">
        <v>5393382</v>
      </c>
      <c r="BB32" s="71">
        <v>5398657</v>
      </c>
      <c r="BC32" s="71">
        <v>5378783</v>
      </c>
      <c r="BD32" s="71">
        <v>5378951</v>
      </c>
      <c r="BE32" s="71">
        <v>5379161</v>
      </c>
      <c r="BF32" s="71">
        <v>5380053</v>
      </c>
      <c r="BG32" s="71">
        <v>5384822</v>
      </c>
      <c r="BH32" s="71">
        <v>5389180</v>
      </c>
      <c r="BI32" s="71">
        <v>5393637</v>
      </c>
      <c r="BJ32" s="71">
        <v>5400998</v>
      </c>
      <c r="BK32" s="71">
        <v>5411062</v>
      </c>
    </row>
    <row r="33" spans="1:63" ht="12" customHeight="1">
      <c r="A33" s="30" t="s">
        <v>75</v>
      </c>
      <c r="B33" s="19" t="s">
        <v>76</v>
      </c>
      <c r="C33" s="19" t="s">
        <v>233</v>
      </c>
      <c r="D33" s="71" t="s">
        <v>85</v>
      </c>
      <c r="E33" s="71" t="s">
        <v>85</v>
      </c>
      <c r="F33" s="71" t="s">
        <v>85</v>
      </c>
      <c r="G33" s="71" t="s">
        <v>85</v>
      </c>
      <c r="H33" s="71" t="s">
        <v>85</v>
      </c>
      <c r="I33" s="71" t="s">
        <v>85</v>
      </c>
      <c r="J33" s="71" t="s">
        <v>85</v>
      </c>
      <c r="K33" s="71" t="s">
        <v>85</v>
      </c>
      <c r="L33" s="71" t="s">
        <v>85</v>
      </c>
      <c r="M33" s="71" t="s">
        <v>85</v>
      </c>
      <c r="N33" s="71">
        <v>1580535</v>
      </c>
      <c r="O33" s="71">
        <v>1588904</v>
      </c>
      <c r="P33" s="71">
        <v>1599357</v>
      </c>
      <c r="Q33" s="71">
        <v>1607941</v>
      </c>
      <c r="R33" s="71">
        <v>1626000</v>
      </c>
      <c r="S33" s="71">
        <v>1638227</v>
      </c>
      <c r="T33" s="71">
        <v>1660092</v>
      </c>
      <c r="U33" s="71">
        <v>1679717</v>
      </c>
      <c r="V33" s="71">
        <v>1699339</v>
      </c>
      <c r="W33" s="71">
        <v>1709752</v>
      </c>
      <c r="X33" s="71">
        <v>1717995</v>
      </c>
      <c r="Y33" s="71">
        <v>1731787</v>
      </c>
      <c r="Z33" s="71">
        <v>1744882</v>
      </c>
      <c r="AA33" s="71">
        <v>1759584</v>
      </c>
      <c r="AB33" s="71">
        <v>1773809</v>
      </c>
      <c r="AC33" s="71">
        <v>1778454</v>
      </c>
      <c r="AD33" s="71">
        <v>1808707</v>
      </c>
      <c r="AE33" s="71">
        <v>1831790</v>
      </c>
      <c r="AF33" s="71">
        <v>1852963</v>
      </c>
      <c r="AG33" s="71">
        <v>1872133</v>
      </c>
      <c r="AH33" s="71">
        <v>1893064</v>
      </c>
      <c r="AI33" s="71">
        <v>1909566</v>
      </c>
      <c r="AJ33" s="71">
        <v>1903495</v>
      </c>
      <c r="AK33" s="71">
        <v>1917173</v>
      </c>
      <c r="AL33" s="71">
        <v>1927469</v>
      </c>
      <c r="AM33" s="71">
        <v>1936839</v>
      </c>
      <c r="AN33" s="71">
        <v>1946442</v>
      </c>
      <c r="AO33" s="71">
        <v>1985486</v>
      </c>
      <c r="AP33" s="71">
        <v>1994066</v>
      </c>
      <c r="AQ33" s="71">
        <v>1996325</v>
      </c>
      <c r="AR33" s="71">
        <v>1996377</v>
      </c>
      <c r="AS33" s="71">
        <v>1999945</v>
      </c>
      <c r="AT33" s="71">
        <v>1998912</v>
      </c>
      <c r="AU33" s="71">
        <v>1994084</v>
      </c>
      <c r="AV33" s="71">
        <v>1989408</v>
      </c>
      <c r="AW33" s="71">
        <v>1989477</v>
      </c>
      <c r="AX33" s="71">
        <v>1990266</v>
      </c>
      <c r="AY33" s="71">
        <v>1986989</v>
      </c>
      <c r="AZ33" s="71">
        <v>1984923</v>
      </c>
      <c r="BA33" s="71">
        <v>1978334</v>
      </c>
      <c r="BB33" s="71">
        <v>1987755</v>
      </c>
      <c r="BC33" s="71">
        <v>1990094</v>
      </c>
      <c r="BD33" s="71">
        <v>1994026</v>
      </c>
      <c r="BE33" s="71">
        <v>1995033</v>
      </c>
      <c r="BF33" s="71">
        <v>1996433</v>
      </c>
      <c r="BG33" s="71">
        <v>1997590</v>
      </c>
      <c r="BH33" s="71">
        <v>2003358</v>
      </c>
      <c r="BI33" s="71">
        <v>2010377</v>
      </c>
      <c r="BJ33" s="71">
        <v>2025866</v>
      </c>
      <c r="BK33" s="71">
        <v>2053393</v>
      </c>
    </row>
    <row r="34" spans="1:63" ht="12" customHeight="1">
      <c r="A34" s="30" t="s">
        <v>39</v>
      </c>
      <c r="B34" s="19" t="s">
        <v>40</v>
      </c>
      <c r="C34" s="19" t="s">
        <v>232</v>
      </c>
      <c r="D34" s="71">
        <v>28009000</v>
      </c>
      <c r="E34" s="71" t="s">
        <v>85</v>
      </c>
      <c r="F34" s="71" t="s">
        <v>85</v>
      </c>
      <c r="G34" s="71" t="s">
        <v>85</v>
      </c>
      <c r="H34" s="71" t="s">
        <v>85</v>
      </c>
      <c r="I34" s="71">
        <v>29200000</v>
      </c>
      <c r="J34" s="71" t="s">
        <v>85</v>
      </c>
      <c r="K34" s="71" t="s">
        <v>85</v>
      </c>
      <c r="L34" s="71" t="s">
        <v>85</v>
      </c>
      <c r="M34" s="71" t="s">
        <v>85</v>
      </c>
      <c r="N34" s="71">
        <v>30327000</v>
      </c>
      <c r="O34" s="71">
        <v>30583000</v>
      </c>
      <c r="P34" s="71">
        <v>30895500</v>
      </c>
      <c r="Q34" s="71">
        <v>31151231</v>
      </c>
      <c r="R34" s="71">
        <v>31442070</v>
      </c>
      <c r="S34" s="71">
        <v>31776320</v>
      </c>
      <c r="T34" s="71">
        <v>32132264</v>
      </c>
      <c r="U34" s="71">
        <v>32434123</v>
      </c>
      <c r="V34" s="71">
        <v>32931771</v>
      </c>
      <c r="W34" s="71">
        <v>33294497</v>
      </c>
      <c r="X34" s="71">
        <v>33587610</v>
      </c>
      <c r="Y34" s="71">
        <v>34041452</v>
      </c>
      <c r="Z34" s="71">
        <v>34341903</v>
      </c>
      <c r="AA34" s="71">
        <v>34663507</v>
      </c>
      <c r="AB34" s="71">
        <v>34970634</v>
      </c>
      <c r="AC34" s="71">
        <v>35338041</v>
      </c>
      <c r="AD34" s="71">
        <v>35723408</v>
      </c>
      <c r="AE34" s="71">
        <v>36155465</v>
      </c>
      <c r="AF34" s="71">
        <v>36584635</v>
      </c>
      <c r="AG34" s="71">
        <v>37160377</v>
      </c>
      <c r="AH34" s="71">
        <v>37241868</v>
      </c>
      <c r="AI34" s="71">
        <v>37636201</v>
      </c>
      <c r="AJ34" s="71">
        <v>37844910</v>
      </c>
      <c r="AK34" s="71">
        <v>38040699</v>
      </c>
      <c r="AL34" s="71">
        <v>38204159</v>
      </c>
      <c r="AM34" s="71">
        <v>38352991</v>
      </c>
      <c r="AN34" s="71">
        <v>38484642</v>
      </c>
      <c r="AO34" s="71">
        <v>38586591</v>
      </c>
      <c r="AP34" s="71">
        <v>38675049</v>
      </c>
      <c r="AQ34" s="71">
        <v>38756648</v>
      </c>
      <c r="AR34" s="71">
        <v>38826297</v>
      </c>
      <c r="AS34" s="71">
        <v>38874573</v>
      </c>
      <c r="AT34" s="71">
        <v>39003524</v>
      </c>
      <c r="AU34" s="71">
        <v>39131966</v>
      </c>
      <c r="AV34" s="71">
        <v>39246833</v>
      </c>
      <c r="AW34" s="71">
        <v>39343100</v>
      </c>
      <c r="AX34" s="71">
        <v>39430933</v>
      </c>
      <c r="AY34" s="71">
        <v>39525438</v>
      </c>
      <c r="AZ34" s="71">
        <v>39639388</v>
      </c>
      <c r="BA34" s="71">
        <v>39802827</v>
      </c>
      <c r="BB34" s="71">
        <v>40049708</v>
      </c>
      <c r="BC34" s="71">
        <v>40476723</v>
      </c>
      <c r="BD34" s="71">
        <v>40964244</v>
      </c>
      <c r="BE34" s="71">
        <v>41663702</v>
      </c>
      <c r="BF34" s="71">
        <v>42345342</v>
      </c>
      <c r="BG34" s="71">
        <v>43038035</v>
      </c>
      <c r="BH34" s="71">
        <v>43758250</v>
      </c>
      <c r="BI34" s="71">
        <v>44474631</v>
      </c>
      <c r="BJ34" s="71">
        <v>45283259</v>
      </c>
      <c r="BK34" s="71">
        <v>45853045</v>
      </c>
    </row>
    <row r="35" spans="1:63" ht="12" customHeight="1">
      <c r="A35" s="30" t="s">
        <v>73</v>
      </c>
      <c r="B35" s="19" t="s">
        <v>74</v>
      </c>
      <c r="C35" s="19" t="s">
        <v>232</v>
      </c>
      <c r="D35" s="71">
        <v>6986181</v>
      </c>
      <c r="E35" s="71">
        <v>7046920</v>
      </c>
      <c r="F35" s="71">
        <v>7098740</v>
      </c>
      <c r="G35" s="71">
        <v>7150606</v>
      </c>
      <c r="H35" s="71">
        <v>7192316</v>
      </c>
      <c r="I35" s="71">
        <v>7234664</v>
      </c>
      <c r="J35" s="71">
        <v>7290112</v>
      </c>
      <c r="K35" s="71">
        <v>7341122</v>
      </c>
      <c r="L35" s="71">
        <v>7392872</v>
      </c>
      <c r="M35" s="71">
        <v>7436066</v>
      </c>
      <c r="N35" s="71">
        <v>7471345</v>
      </c>
      <c r="O35" s="71">
        <v>7497967</v>
      </c>
      <c r="P35" s="71">
        <v>7542028</v>
      </c>
      <c r="Q35" s="71">
        <v>7581148</v>
      </c>
      <c r="R35" s="71">
        <v>7627507</v>
      </c>
      <c r="S35" s="71">
        <v>7695200</v>
      </c>
      <c r="T35" s="71">
        <v>7772506</v>
      </c>
      <c r="U35" s="71">
        <v>7843088</v>
      </c>
      <c r="V35" s="71">
        <v>7892774</v>
      </c>
      <c r="W35" s="71">
        <v>7931772</v>
      </c>
      <c r="X35" s="71">
        <v>8004371</v>
      </c>
      <c r="Y35" s="71">
        <v>8081230</v>
      </c>
      <c r="Z35" s="71">
        <v>8115438</v>
      </c>
      <c r="AA35" s="71">
        <v>8129161</v>
      </c>
      <c r="AB35" s="71">
        <v>8143463</v>
      </c>
      <c r="AC35" s="71">
        <v>8176447</v>
      </c>
      <c r="AD35" s="71">
        <v>8208427</v>
      </c>
      <c r="AE35" s="71">
        <v>8236144</v>
      </c>
      <c r="AF35" s="71">
        <v>8266936</v>
      </c>
      <c r="AG35" s="71">
        <v>8284261</v>
      </c>
      <c r="AH35" s="71">
        <v>8303094</v>
      </c>
      <c r="AI35" s="71">
        <v>8317967</v>
      </c>
      <c r="AJ35" s="71">
        <v>8323038</v>
      </c>
      <c r="AK35" s="71">
        <v>8327488</v>
      </c>
      <c r="AL35" s="71">
        <v>8330577</v>
      </c>
      <c r="AM35" s="71">
        <v>8342633</v>
      </c>
      <c r="AN35" s="71">
        <v>8358139</v>
      </c>
      <c r="AO35" s="71">
        <v>8381519</v>
      </c>
      <c r="AP35" s="71">
        <v>8414089</v>
      </c>
      <c r="AQ35" s="71">
        <v>8458888</v>
      </c>
      <c r="AR35" s="71">
        <v>8527039</v>
      </c>
      <c r="AS35" s="71">
        <v>8590630</v>
      </c>
      <c r="AT35" s="71">
        <v>8644120</v>
      </c>
      <c r="AU35" s="71">
        <v>8692013</v>
      </c>
      <c r="AV35" s="71">
        <v>8745109</v>
      </c>
      <c r="AW35" s="71">
        <v>8816381</v>
      </c>
      <c r="AX35" s="71">
        <v>8837496</v>
      </c>
      <c r="AY35" s="71">
        <v>8844499</v>
      </c>
      <c r="AZ35" s="71">
        <v>8847625</v>
      </c>
      <c r="BA35" s="71">
        <v>8854322</v>
      </c>
      <c r="BB35" s="71">
        <v>8861426</v>
      </c>
      <c r="BC35" s="71">
        <v>8882792</v>
      </c>
      <c r="BD35" s="71">
        <v>8909128</v>
      </c>
      <c r="BE35" s="71">
        <v>8940788</v>
      </c>
      <c r="BF35" s="71">
        <v>8975670</v>
      </c>
      <c r="BG35" s="71">
        <v>9011392</v>
      </c>
      <c r="BH35" s="71">
        <v>9047752</v>
      </c>
      <c r="BI35" s="71">
        <v>9113257</v>
      </c>
      <c r="BJ35" s="71">
        <v>9182927</v>
      </c>
      <c r="BK35" s="71">
        <v>9259044</v>
      </c>
    </row>
    <row r="36" spans="1:63" ht="12" customHeight="1">
      <c r="A36" s="30" t="s">
        <v>154</v>
      </c>
      <c r="B36" s="19" t="s">
        <v>91</v>
      </c>
      <c r="C36" s="19" t="s">
        <v>233</v>
      </c>
      <c r="D36" s="71">
        <v>4668000</v>
      </c>
      <c r="E36" s="71">
        <v>4717200</v>
      </c>
      <c r="F36" s="71">
        <v>4778900</v>
      </c>
      <c r="G36" s="71">
        <v>4844100</v>
      </c>
      <c r="H36" s="71">
        <v>4907000</v>
      </c>
      <c r="I36" s="71">
        <v>4970300</v>
      </c>
      <c r="J36" s="71">
        <v>5033700</v>
      </c>
      <c r="K36" s="71">
        <v>5097400</v>
      </c>
      <c r="L36" s="71">
        <v>5162800</v>
      </c>
      <c r="M36" s="71">
        <v>5230000</v>
      </c>
      <c r="N36" s="71">
        <v>5295500</v>
      </c>
      <c r="O36" s="71">
        <v>5360153</v>
      </c>
      <c r="P36" s="71">
        <v>5508435</v>
      </c>
      <c r="Q36" s="71">
        <v>5639195</v>
      </c>
      <c r="R36" s="71">
        <v>5749299</v>
      </c>
      <c r="S36" s="71">
        <v>5829156</v>
      </c>
      <c r="T36" s="71">
        <v>5883788</v>
      </c>
      <c r="U36" s="71">
        <v>5952216</v>
      </c>
      <c r="V36" s="71">
        <v>6031353</v>
      </c>
      <c r="W36" s="71">
        <v>6104074</v>
      </c>
      <c r="X36" s="71">
        <v>6168700</v>
      </c>
      <c r="Y36" s="71">
        <v>6193054</v>
      </c>
      <c r="Z36" s="71">
        <v>6233744</v>
      </c>
      <c r="AA36" s="71">
        <v>6288168</v>
      </c>
      <c r="AB36" s="71">
        <v>6326525</v>
      </c>
      <c r="AC36" s="71">
        <v>6356285</v>
      </c>
      <c r="AD36" s="71">
        <v>6320978</v>
      </c>
      <c r="AE36" s="71">
        <v>6284029</v>
      </c>
      <c r="AF36" s="71">
        <v>6278319</v>
      </c>
      <c r="AG36" s="71">
        <v>6285156</v>
      </c>
      <c r="AH36" s="71">
        <v>6303573</v>
      </c>
      <c r="AI36" s="71">
        <v>6335243</v>
      </c>
      <c r="AJ36" s="71">
        <v>6372904</v>
      </c>
      <c r="AK36" s="71">
        <v>6409713</v>
      </c>
      <c r="AL36" s="71">
        <v>6427833</v>
      </c>
      <c r="AM36" s="71">
        <v>6455896</v>
      </c>
      <c r="AN36" s="71">
        <v>6484834</v>
      </c>
      <c r="AO36" s="71">
        <v>6523413</v>
      </c>
      <c r="AP36" s="71">
        <v>6566799</v>
      </c>
      <c r="AQ36" s="71">
        <v>6619973</v>
      </c>
      <c r="AR36" s="71">
        <v>6673850</v>
      </c>
      <c r="AS36" s="71">
        <v>6757188</v>
      </c>
      <c r="AT36" s="71">
        <v>6842768</v>
      </c>
      <c r="AU36" s="71">
        <v>6907959</v>
      </c>
      <c r="AV36" s="71">
        <v>6968570</v>
      </c>
      <c r="AW36" s="71">
        <v>7019019</v>
      </c>
      <c r="AX36" s="71">
        <v>7062354</v>
      </c>
      <c r="AY36" s="71">
        <v>7081346</v>
      </c>
      <c r="AZ36" s="71">
        <v>7096465</v>
      </c>
      <c r="BA36" s="71">
        <v>7123537</v>
      </c>
      <c r="BB36" s="71">
        <v>7164444</v>
      </c>
      <c r="BC36" s="71">
        <v>7204055</v>
      </c>
      <c r="BD36" s="71">
        <v>7255653</v>
      </c>
      <c r="BE36" s="71">
        <v>7313853</v>
      </c>
      <c r="BF36" s="71">
        <v>7364148</v>
      </c>
      <c r="BG36" s="71">
        <v>7415102</v>
      </c>
      <c r="BH36" s="71">
        <v>7459128</v>
      </c>
      <c r="BI36" s="71">
        <v>7508739</v>
      </c>
      <c r="BJ36" s="71">
        <v>7593494</v>
      </c>
      <c r="BK36" s="71">
        <v>7667715</v>
      </c>
    </row>
    <row r="37" spans="1:63" ht="12" customHeight="1">
      <c r="A37" s="30" t="s">
        <v>79</v>
      </c>
      <c r="B37" s="19" t="s">
        <v>80</v>
      </c>
      <c r="C37" s="19" t="s">
        <v>233</v>
      </c>
      <c r="D37" s="71" t="s">
        <v>85</v>
      </c>
      <c r="E37" s="71" t="s">
        <v>85</v>
      </c>
      <c r="F37" s="71" t="s">
        <v>85</v>
      </c>
      <c r="G37" s="71" t="s">
        <v>85</v>
      </c>
      <c r="H37" s="71" t="s">
        <v>85</v>
      </c>
      <c r="I37" s="71" t="s">
        <v>85</v>
      </c>
      <c r="J37" s="71" t="s">
        <v>85</v>
      </c>
      <c r="K37" s="71" t="s">
        <v>85</v>
      </c>
      <c r="L37" s="71" t="s">
        <v>85</v>
      </c>
      <c r="M37" s="71" t="s">
        <v>85</v>
      </c>
      <c r="N37" s="71">
        <v>27119962</v>
      </c>
      <c r="O37" s="71">
        <v>27755078</v>
      </c>
      <c r="P37" s="71">
        <v>28435197</v>
      </c>
      <c r="Q37" s="71">
        <v>29162545</v>
      </c>
      <c r="R37" s="71">
        <v>29939582</v>
      </c>
      <c r="S37" s="71">
        <v>30769013</v>
      </c>
      <c r="T37" s="71">
        <v>31499416</v>
      </c>
      <c r="U37" s="71">
        <v>32273630</v>
      </c>
      <c r="V37" s="71">
        <v>33093700</v>
      </c>
      <c r="W37" s="71">
        <v>33961875</v>
      </c>
      <c r="X37" s="71">
        <v>34880611</v>
      </c>
      <c r="Y37" s="71">
        <v>35707058</v>
      </c>
      <c r="Z37" s="71">
        <v>36582215</v>
      </c>
      <c r="AA37" s="71">
        <v>37508880</v>
      </c>
      <c r="AB37" s="71">
        <v>38490106</v>
      </c>
      <c r="AC37" s="71">
        <v>39529218</v>
      </c>
      <c r="AD37" s="71">
        <v>40281507</v>
      </c>
      <c r="AE37" s="71">
        <v>41102443</v>
      </c>
      <c r="AF37" s="71">
        <v>41996129</v>
      </c>
      <c r="AG37" s="71">
        <v>42967253</v>
      </c>
      <c r="AH37" s="71">
        <v>44021146</v>
      </c>
      <c r="AI37" s="71">
        <v>45023450</v>
      </c>
      <c r="AJ37" s="71">
        <v>46085508</v>
      </c>
      <c r="AK37" s="71">
        <v>47210448</v>
      </c>
      <c r="AL37" s="71">
        <v>48401689</v>
      </c>
      <c r="AM37" s="71">
        <v>49662958</v>
      </c>
      <c r="AN37" s="71">
        <v>50695548</v>
      </c>
      <c r="AO37" s="71">
        <v>51791212</v>
      </c>
      <c r="AP37" s="71">
        <v>52953586</v>
      </c>
      <c r="AQ37" s="71">
        <v>54186642</v>
      </c>
      <c r="AR37" s="71">
        <v>55494711</v>
      </c>
      <c r="AS37" s="71">
        <v>56714051</v>
      </c>
      <c r="AT37" s="71">
        <v>57835076</v>
      </c>
      <c r="AU37" s="71">
        <v>58958565</v>
      </c>
      <c r="AV37" s="71">
        <v>60079060</v>
      </c>
      <c r="AW37" s="71">
        <v>61203584</v>
      </c>
      <c r="AX37" s="71">
        <v>62337617</v>
      </c>
      <c r="AY37" s="71">
        <v>63484661</v>
      </c>
      <c r="AZ37" s="71">
        <v>64641675</v>
      </c>
      <c r="BA37" s="71">
        <v>65786563</v>
      </c>
      <c r="BB37" s="71">
        <v>66889425</v>
      </c>
      <c r="BC37" s="71">
        <v>67895581</v>
      </c>
      <c r="BD37" s="71">
        <v>68838069</v>
      </c>
      <c r="BE37" s="71">
        <v>69770026</v>
      </c>
      <c r="BF37" s="71">
        <v>70692009</v>
      </c>
      <c r="BG37" s="71">
        <v>71610009</v>
      </c>
      <c r="BH37" s="71">
        <v>72519974</v>
      </c>
      <c r="BI37" s="71">
        <v>69689256</v>
      </c>
      <c r="BJ37" s="71">
        <v>70586256</v>
      </c>
      <c r="BK37" s="71">
        <v>70586256</v>
      </c>
    </row>
    <row r="38" spans="1:63" ht="12" customHeight="1">
      <c r="A38" s="30" t="s">
        <v>81</v>
      </c>
      <c r="B38" s="19" t="s">
        <v>82</v>
      </c>
      <c r="C38" s="19" t="s">
        <v>232</v>
      </c>
      <c r="D38" s="71">
        <v>50616000</v>
      </c>
      <c r="E38" s="71" t="s">
        <v>85</v>
      </c>
      <c r="F38" s="71" t="s">
        <v>85</v>
      </c>
      <c r="G38" s="71" t="s">
        <v>85</v>
      </c>
      <c r="H38" s="71">
        <v>50700000</v>
      </c>
      <c r="I38" s="71">
        <v>50900000</v>
      </c>
      <c r="J38" s="71">
        <v>51100000</v>
      </c>
      <c r="K38" s="71">
        <v>51300000</v>
      </c>
      <c r="L38" s="71">
        <v>51500000</v>
      </c>
      <c r="M38" s="71">
        <v>51800000</v>
      </c>
      <c r="N38" s="71">
        <v>52200000</v>
      </c>
      <c r="O38" s="71">
        <v>52600000</v>
      </c>
      <c r="P38" s="71">
        <v>53000000</v>
      </c>
      <c r="Q38" s="71">
        <v>53500000</v>
      </c>
      <c r="R38" s="71">
        <v>53800000</v>
      </c>
      <c r="S38" s="71">
        <v>54200000</v>
      </c>
      <c r="T38" s="71">
        <v>54496100</v>
      </c>
      <c r="U38" s="71">
        <v>54800900</v>
      </c>
      <c r="V38" s="71">
        <v>55086300</v>
      </c>
      <c r="W38" s="71">
        <v>55337100</v>
      </c>
      <c r="X38" s="71">
        <v>55546400</v>
      </c>
      <c r="Y38" s="71">
        <v>55780100</v>
      </c>
      <c r="Z38" s="71">
        <v>56012345</v>
      </c>
      <c r="AA38" s="71">
        <v>56159785</v>
      </c>
      <c r="AB38" s="71">
        <v>56229268</v>
      </c>
      <c r="AC38" s="71">
        <v>56230680</v>
      </c>
      <c r="AD38" s="71">
        <v>56220920</v>
      </c>
      <c r="AE38" s="71">
        <v>56203016</v>
      </c>
      <c r="AF38" s="71">
        <v>56183968</v>
      </c>
      <c r="AG38" s="71">
        <v>56209039</v>
      </c>
      <c r="AH38" s="71">
        <v>56284863</v>
      </c>
      <c r="AI38" s="71">
        <v>56343569</v>
      </c>
      <c r="AJ38" s="71">
        <v>56324088</v>
      </c>
      <c r="AK38" s="71">
        <v>56303194</v>
      </c>
      <c r="AL38" s="71">
        <v>56362502</v>
      </c>
      <c r="AM38" s="71">
        <v>56481641</v>
      </c>
      <c r="AN38" s="71">
        <v>56618895</v>
      </c>
      <c r="AO38" s="71">
        <v>56743897</v>
      </c>
      <c r="AP38" s="71">
        <v>56860203</v>
      </c>
      <c r="AQ38" s="71">
        <v>56996450</v>
      </c>
      <c r="AR38" s="71">
        <v>57156972</v>
      </c>
      <c r="AS38" s="71">
        <v>57338199</v>
      </c>
      <c r="AT38" s="71">
        <v>57511594</v>
      </c>
      <c r="AU38" s="71">
        <v>57649210</v>
      </c>
      <c r="AV38" s="71">
        <v>57788017</v>
      </c>
      <c r="AW38" s="71">
        <v>57943472</v>
      </c>
      <c r="AX38" s="71">
        <v>58094587</v>
      </c>
      <c r="AY38" s="71">
        <v>58239312</v>
      </c>
      <c r="AZ38" s="71">
        <v>58394596</v>
      </c>
      <c r="BA38" s="71">
        <v>58579685</v>
      </c>
      <c r="BB38" s="71">
        <v>58785246</v>
      </c>
      <c r="BC38" s="71">
        <v>58999781</v>
      </c>
      <c r="BD38" s="71">
        <v>59217592</v>
      </c>
      <c r="BE38" s="71">
        <v>59437723</v>
      </c>
      <c r="BF38" s="71">
        <v>59699828</v>
      </c>
      <c r="BG38" s="71">
        <v>60059900</v>
      </c>
      <c r="BH38" s="71">
        <v>60393100</v>
      </c>
      <c r="BI38" s="71">
        <v>60816701</v>
      </c>
      <c r="BJ38" s="71">
        <v>61185981</v>
      </c>
      <c r="BK38" s="71">
        <v>61612255</v>
      </c>
    </row>
    <row r="39" ht="12" customHeight="1">
      <c r="C39" s="19">
        <f>COUNTIF(C8:C38,"y")</f>
        <v>15</v>
      </c>
    </row>
    <row r="40" ht="12" customHeight="1">
      <c r="B40" s="19" t="s">
        <v>110</v>
      </c>
    </row>
    <row r="41" spans="2:57" ht="12" customHeight="1">
      <c r="B41" s="19" t="s">
        <v>90</v>
      </c>
      <c r="D41" s="19" t="s">
        <v>92</v>
      </c>
      <c r="BB41" s="100">
        <f>SUMIF(C8:C38,"y",BB8:BB38)-BB20-BB25-BB34</f>
        <v>336475676</v>
      </c>
      <c r="BC41" s="19" t="s">
        <v>260</v>
      </c>
      <c r="BE41" s="19" t="s">
        <v>265</v>
      </c>
    </row>
    <row r="42" spans="2:55" ht="12" customHeight="1">
      <c r="B42" s="19" t="s">
        <v>108</v>
      </c>
      <c r="D42" s="19" t="s">
        <v>109</v>
      </c>
      <c r="BB42" s="39">
        <f>SUMIF(C8:C38,"n",BB8:BB38)</f>
        <v>184334047</v>
      </c>
      <c r="BC42" s="19" t="s">
        <v>261</v>
      </c>
    </row>
    <row r="43" spans="2:55" ht="12" customHeight="1">
      <c r="B43" s="19" t="s">
        <v>89</v>
      </c>
      <c r="D43" s="19" t="s">
        <v>93</v>
      </c>
      <c r="BB43" s="90">
        <f>(SUM(BB8:BB38)-BB20-BB25-BB34)/(BB41+BB42)</f>
        <v>1</v>
      </c>
      <c r="BC43" s="19" t="s">
        <v>243</v>
      </c>
    </row>
    <row r="44" spans="2:4" ht="12" customHeight="1">
      <c r="B44" s="19" t="s">
        <v>100</v>
      </c>
      <c r="D44" s="19" t="s">
        <v>102</v>
      </c>
    </row>
    <row r="45" spans="2:4" ht="12" customHeight="1">
      <c r="B45" s="22"/>
      <c r="C45" s="22"/>
      <c r="D45" s="2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I38"/>
  <sheetViews>
    <sheetView zoomScalePageLayoutView="0" workbookViewId="0" topLeftCell="A1">
      <selection activeCell="AC19" sqref="AC19"/>
    </sheetView>
  </sheetViews>
  <sheetFormatPr defaultColWidth="9.00390625" defaultRowHeight="12.75"/>
  <cols>
    <col min="1" max="1" width="5.00390625" style="16" customWidth="1"/>
    <col min="2" max="2" width="21.00390625" style="16" customWidth="1"/>
    <col min="3" max="3" width="5.75390625" style="16" bestFit="1" customWidth="1"/>
    <col min="4" max="11" width="5.375" style="16" hidden="1" customWidth="1"/>
    <col min="12" max="30" width="5.375" style="16" customWidth="1"/>
    <col min="31" max="31" width="5.625" style="72" bestFit="1" customWidth="1"/>
    <col min="32" max="32" width="5.625" style="72" customWidth="1"/>
    <col min="33" max="33" width="9.75390625" style="16" customWidth="1"/>
    <col min="34" max="16384" width="9.00390625" style="16" customWidth="1"/>
  </cols>
  <sheetData>
    <row r="1" ht="15">
      <c r="A1" s="28" t="s">
        <v>229</v>
      </c>
    </row>
    <row r="2" spans="1:32" s="19" customFormat="1" ht="11.25">
      <c r="A2" s="68" t="s">
        <v>135</v>
      </c>
      <c r="AE2" s="73"/>
      <c r="AF2" s="73"/>
    </row>
    <row r="3" spans="1:32" s="19" customFormat="1" ht="11.25">
      <c r="A3" s="19" t="s">
        <v>95</v>
      </c>
      <c r="B3" s="75" t="s">
        <v>112</v>
      </c>
      <c r="AE3" s="73"/>
      <c r="AF3" s="73"/>
    </row>
    <row r="4" spans="2:32" s="19" customFormat="1" ht="11.25">
      <c r="B4" s="22" t="s">
        <v>113</v>
      </c>
      <c r="AE4" s="73"/>
      <c r="AF4" s="73"/>
    </row>
    <row r="5" spans="2:32" s="19" customFormat="1" ht="11.25">
      <c r="B5" s="73" t="s">
        <v>117</v>
      </c>
      <c r="AE5" s="73"/>
      <c r="AF5" s="73"/>
    </row>
    <row r="6" spans="31:34" s="19" customFormat="1" ht="11.25">
      <c r="AE6" s="73"/>
      <c r="AF6" s="73"/>
      <c r="AG6" s="37" t="s">
        <v>209</v>
      </c>
      <c r="AH6" s="19" t="s">
        <v>209</v>
      </c>
    </row>
    <row r="7" spans="3:34" s="21" customFormat="1" ht="11.25">
      <c r="C7" s="29">
        <v>1981</v>
      </c>
      <c r="D7" s="29">
        <v>1982</v>
      </c>
      <c r="E7" s="29">
        <v>1983</v>
      </c>
      <c r="F7" s="29">
        <v>1984</v>
      </c>
      <c r="G7" s="29">
        <v>1985</v>
      </c>
      <c r="H7" s="29">
        <v>1986</v>
      </c>
      <c r="I7" s="29">
        <v>1987</v>
      </c>
      <c r="J7" s="29">
        <v>1988</v>
      </c>
      <c r="K7" s="29">
        <v>1989</v>
      </c>
      <c r="L7" s="29">
        <v>1990</v>
      </c>
      <c r="M7" s="29">
        <v>1991</v>
      </c>
      <c r="N7" s="29">
        <v>1992</v>
      </c>
      <c r="O7" s="29">
        <v>1993</v>
      </c>
      <c r="P7" s="29">
        <v>1994</v>
      </c>
      <c r="Q7" s="29">
        <v>1995</v>
      </c>
      <c r="R7" s="29">
        <v>1996</v>
      </c>
      <c r="S7" s="29">
        <v>1997</v>
      </c>
      <c r="T7" s="29">
        <v>1998</v>
      </c>
      <c r="U7" s="29">
        <v>1999</v>
      </c>
      <c r="V7" s="29">
        <v>2000</v>
      </c>
      <c r="W7" s="29">
        <v>2001</v>
      </c>
      <c r="X7" s="29">
        <v>2002</v>
      </c>
      <c r="Y7" s="29">
        <v>2003</v>
      </c>
      <c r="Z7" s="29">
        <v>2004</v>
      </c>
      <c r="AA7" s="29">
        <v>2005</v>
      </c>
      <c r="AB7" s="29">
        <v>2006</v>
      </c>
      <c r="AC7" s="29">
        <v>2007</v>
      </c>
      <c r="AD7" s="29">
        <v>2008</v>
      </c>
      <c r="AE7" s="74">
        <v>2008</v>
      </c>
      <c r="AF7" s="73"/>
      <c r="AG7" s="37" t="s">
        <v>210</v>
      </c>
      <c r="AH7" s="21" t="s">
        <v>247</v>
      </c>
    </row>
    <row r="8" spans="1:35" s="19" customFormat="1" ht="11.25">
      <c r="A8" s="30" t="s">
        <v>23</v>
      </c>
      <c r="B8" s="19" t="s">
        <v>24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2">
        <v>72</v>
      </c>
      <c r="T8" s="22">
        <v>72</v>
      </c>
      <c r="U8" s="22">
        <v>72</v>
      </c>
      <c r="V8" s="22">
        <v>72</v>
      </c>
      <c r="W8" s="22">
        <v>72</v>
      </c>
      <c r="X8" s="19">
        <v>137</v>
      </c>
      <c r="Y8" s="19">
        <v>137</v>
      </c>
      <c r="Z8" s="19">
        <v>137</v>
      </c>
      <c r="AA8" s="19">
        <v>137</v>
      </c>
      <c r="AB8" s="19">
        <v>137</v>
      </c>
      <c r="AC8" s="19">
        <v>137</v>
      </c>
      <c r="AD8" s="19">
        <v>137</v>
      </c>
      <c r="AE8" s="73">
        <v>72</v>
      </c>
      <c r="AF8" s="73"/>
      <c r="AG8" s="38">
        <f>AD8-V8</f>
        <v>65</v>
      </c>
      <c r="AH8" s="19">
        <f>AA8-Q8</f>
        <v>137</v>
      </c>
      <c r="AI8" s="19" t="e">
        <f>AH8/Q8*100</f>
        <v>#DIV/0!</v>
      </c>
    </row>
    <row r="9" spans="1:35" s="19" customFormat="1" ht="11.25">
      <c r="A9" s="30" t="s">
        <v>43</v>
      </c>
      <c r="B9" s="19" t="s">
        <v>44</v>
      </c>
      <c r="C9" s="75">
        <v>285</v>
      </c>
      <c r="D9" s="19">
        <v>419</v>
      </c>
      <c r="E9" s="19">
        <v>419</v>
      </c>
      <c r="F9" s="19">
        <v>419</v>
      </c>
      <c r="G9" s="19">
        <v>419</v>
      </c>
      <c r="H9" s="19">
        <v>419</v>
      </c>
      <c r="I9" s="19">
        <v>419</v>
      </c>
      <c r="J9" s="19">
        <v>419</v>
      </c>
      <c r="K9" s="19">
        <f>J9+291</f>
        <v>710</v>
      </c>
      <c r="L9" s="19">
        <v>710</v>
      </c>
      <c r="M9" s="19">
        <v>710</v>
      </c>
      <c r="N9" s="19">
        <v>710</v>
      </c>
      <c r="O9" s="19">
        <v>710</v>
      </c>
      <c r="P9" s="19">
        <v>831</v>
      </c>
      <c r="Q9" s="19">
        <v>831</v>
      </c>
      <c r="R9" s="19">
        <f>Q9+346+104</f>
        <v>1281</v>
      </c>
      <c r="S9" s="19">
        <v>1281</v>
      </c>
      <c r="T9" s="19">
        <v>1281</v>
      </c>
      <c r="U9" s="19">
        <v>1281</v>
      </c>
      <c r="V9" s="19">
        <v>1281</v>
      </c>
      <c r="W9" s="19">
        <f>V9+259</f>
        <v>1540</v>
      </c>
      <c r="X9" s="19">
        <v>1540</v>
      </c>
      <c r="Y9" s="19">
        <v>1540</v>
      </c>
      <c r="Z9" s="19">
        <v>1540</v>
      </c>
      <c r="AA9" s="19">
        <v>1540</v>
      </c>
      <c r="AB9" s="19">
        <v>1540</v>
      </c>
      <c r="AC9" s="19">
        <f>AB9+332</f>
        <v>1872</v>
      </c>
      <c r="AD9" s="19">
        <v>1872</v>
      </c>
      <c r="AE9" s="73">
        <v>229</v>
      </c>
      <c r="AF9" s="73"/>
      <c r="AG9" s="38">
        <f aca="true" t="shared" si="0" ref="AG9:AG14">AD9-V9</f>
        <v>591</v>
      </c>
      <c r="AH9" s="19">
        <f aca="true" t="shared" si="1" ref="AH9:AH14">AA9-Q9</f>
        <v>709</v>
      </c>
      <c r="AI9" s="112">
        <f aca="true" t="shared" si="2" ref="AI9:AI14">AH9/Q9*100</f>
        <v>85.31889290012033</v>
      </c>
    </row>
    <row r="10" spans="1:35" s="19" customFormat="1" ht="11.25">
      <c r="A10" s="30" t="s">
        <v>31</v>
      </c>
      <c r="B10" s="19" t="s">
        <v>96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90</v>
      </c>
      <c r="K10" s="19">
        <v>90</v>
      </c>
      <c r="L10" s="19">
        <v>90</v>
      </c>
      <c r="M10" s="19">
        <f>L10+109</f>
        <v>199</v>
      </c>
      <c r="N10" s="19">
        <v>199</v>
      </c>
      <c r="O10" s="19">
        <v>199</v>
      </c>
      <c r="P10" s="19">
        <f>O10+248</f>
        <v>447</v>
      </c>
      <c r="Q10" s="19">
        <v>447</v>
      </c>
      <c r="R10" s="19">
        <v>447</v>
      </c>
      <c r="S10" s="19">
        <v>447</v>
      </c>
      <c r="T10" s="19">
        <f>S10+189</f>
        <v>636</v>
      </c>
      <c r="U10" s="19">
        <v>636</v>
      </c>
      <c r="V10" s="19">
        <v>636</v>
      </c>
      <c r="W10" s="19">
        <v>636</v>
      </c>
      <c r="X10" s="19">
        <v>636</v>
      </c>
      <c r="Y10" s="19">
        <f>X10+42</f>
        <v>678</v>
      </c>
      <c r="Z10" s="19">
        <f>Y10+197+44+24+253</f>
        <v>1196</v>
      </c>
      <c r="AA10" s="19">
        <v>1196</v>
      </c>
      <c r="AB10" s="19">
        <f>AA10+89</f>
        <v>1285</v>
      </c>
      <c r="AC10" s="19">
        <v>1285</v>
      </c>
      <c r="AD10" s="19">
        <v>1285</v>
      </c>
      <c r="AE10" s="73">
        <v>378</v>
      </c>
      <c r="AF10" s="73"/>
      <c r="AG10" s="38">
        <f t="shared" si="0"/>
        <v>649</v>
      </c>
      <c r="AH10" s="19">
        <f t="shared" si="1"/>
        <v>749</v>
      </c>
      <c r="AI10" s="112">
        <f t="shared" si="2"/>
        <v>167.5615212527964</v>
      </c>
    </row>
    <row r="11" spans="1:35" s="19" customFormat="1" ht="11.25">
      <c r="A11" s="30" t="s">
        <v>53</v>
      </c>
      <c r="B11" s="19" t="s">
        <v>54</v>
      </c>
      <c r="C11" s="19">
        <v>150</v>
      </c>
      <c r="D11" s="19">
        <v>150</v>
      </c>
      <c r="E11" s="19">
        <v>150</v>
      </c>
      <c r="F11" s="19">
        <f>E11+74</f>
        <v>224</v>
      </c>
      <c r="G11" s="19">
        <v>224</v>
      </c>
      <c r="H11" s="19">
        <v>224</v>
      </c>
      <c r="I11" s="19">
        <v>224</v>
      </c>
      <c r="J11" s="19">
        <v>224</v>
      </c>
      <c r="K11" s="19">
        <v>224</v>
      </c>
      <c r="L11" s="19">
        <v>224</v>
      </c>
      <c r="M11" s="19">
        <v>224</v>
      </c>
      <c r="N11" s="19">
        <f>M11+24</f>
        <v>248</v>
      </c>
      <c r="O11" s="19">
        <v>248</v>
      </c>
      <c r="P11" s="19">
        <v>248</v>
      </c>
      <c r="Q11" s="19">
        <v>248</v>
      </c>
      <c r="R11" s="19">
        <v>248</v>
      </c>
      <c r="S11" s="19">
        <v>248</v>
      </c>
      <c r="T11" s="19">
        <v>248</v>
      </c>
      <c r="U11" s="19">
        <v>248</v>
      </c>
      <c r="V11" s="19">
        <v>248</v>
      </c>
      <c r="W11" s="19">
        <v>248</v>
      </c>
      <c r="X11" s="19">
        <v>248</v>
      </c>
      <c r="Y11" s="19">
        <v>248</v>
      </c>
      <c r="Z11" s="19">
        <v>248</v>
      </c>
      <c r="AA11" s="19">
        <v>248</v>
      </c>
      <c r="AB11" s="19">
        <f>AA11+220+94</f>
        <v>562</v>
      </c>
      <c r="AC11" s="19">
        <v>562</v>
      </c>
      <c r="AD11" s="19">
        <v>562</v>
      </c>
      <c r="AE11" s="73">
        <v>314</v>
      </c>
      <c r="AF11" s="73"/>
      <c r="AG11" s="38">
        <f t="shared" si="0"/>
        <v>314</v>
      </c>
      <c r="AH11" s="19">
        <f t="shared" si="1"/>
        <v>0</v>
      </c>
      <c r="AI11" s="112">
        <f t="shared" si="2"/>
        <v>0</v>
      </c>
    </row>
    <row r="12" spans="1:35" s="19" customFormat="1" ht="11.25">
      <c r="A12" s="30" t="s">
        <v>39</v>
      </c>
      <c r="B12" s="19" t="s">
        <v>40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471</v>
      </c>
      <c r="O12" s="19">
        <v>471</v>
      </c>
      <c r="P12" s="19">
        <v>471</v>
      </c>
      <c r="Q12" s="19">
        <v>471</v>
      </c>
      <c r="R12" s="19">
        <v>471</v>
      </c>
      <c r="S12" s="19">
        <v>471</v>
      </c>
      <c r="T12" s="19">
        <v>471</v>
      </c>
      <c r="U12" s="19">
        <v>471</v>
      </c>
      <c r="V12" s="19">
        <v>471</v>
      </c>
      <c r="W12" s="19">
        <v>471</v>
      </c>
      <c r="X12" s="19">
        <v>471</v>
      </c>
      <c r="Y12" s="19">
        <f>X12+79+519</f>
        <v>1069</v>
      </c>
      <c r="Z12" s="19">
        <f>1069</f>
        <v>1069</v>
      </c>
      <c r="AA12" s="19">
        <f>Z12+21</f>
        <v>1090</v>
      </c>
      <c r="AB12" s="19">
        <f>AA12+100+82</f>
        <v>1272</v>
      </c>
      <c r="AC12" s="19">
        <f>AB12+179+55</f>
        <v>1506</v>
      </c>
      <c r="AD12" s="19">
        <f>AC12+88</f>
        <v>1594</v>
      </c>
      <c r="AE12" s="73">
        <v>2219</v>
      </c>
      <c r="AF12" s="73"/>
      <c r="AG12" s="38">
        <f t="shared" si="0"/>
        <v>1123</v>
      </c>
      <c r="AH12" s="19">
        <f t="shared" si="1"/>
        <v>619</v>
      </c>
      <c r="AI12" s="112">
        <f t="shared" si="2"/>
        <v>131.42250530785563</v>
      </c>
    </row>
    <row r="13" spans="1:35" s="19" customFormat="1" ht="11.25">
      <c r="A13" s="30" t="s">
        <v>154</v>
      </c>
      <c r="B13" s="19" t="s">
        <v>91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35</v>
      </c>
      <c r="AD13" s="19">
        <v>35</v>
      </c>
      <c r="AE13" s="73">
        <v>72</v>
      </c>
      <c r="AF13" s="73"/>
      <c r="AG13" s="38">
        <f t="shared" si="0"/>
        <v>35</v>
      </c>
      <c r="AH13" s="19">
        <f t="shared" si="1"/>
        <v>0</v>
      </c>
      <c r="AI13" s="19" t="e">
        <f t="shared" si="2"/>
        <v>#DIV/0!</v>
      </c>
    </row>
    <row r="14" spans="1:35" s="19" customFormat="1" ht="11.25">
      <c r="A14" s="30" t="s">
        <v>81</v>
      </c>
      <c r="B14" s="19" t="s">
        <v>81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74</v>
      </c>
      <c r="Z14" s="19">
        <v>74</v>
      </c>
      <c r="AA14" s="19">
        <v>74</v>
      </c>
      <c r="AB14" s="19">
        <v>74</v>
      </c>
      <c r="AC14" s="19">
        <f>AB14+39</f>
        <v>113</v>
      </c>
      <c r="AD14" s="19">
        <v>113</v>
      </c>
      <c r="AE14" s="73">
        <v>0</v>
      </c>
      <c r="AF14" s="73"/>
      <c r="AG14" s="38">
        <f t="shared" si="0"/>
        <v>113</v>
      </c>
      <c r="AH14" s="19">
        <f t="shared" si="1"/>
        <v>74</v>
      </c>
      <c r="AI14" s="19" t="e">
        <f t="shared" si="2"/>
        <v>#DIV/0!</v>
      </c>
    </row>
    <row r="15" spans="1:33" s="73" customFormat="1" ht="11.25">
      <c r="A15" s="30" t="s">
        <v>63</v>
      </c>
      <c r="B15" s="73" t="s">
        <v>64</v>
      </c>
      <c r="AE15" s="73">
        <v>120</v>
      </c>
      <c r="AG15" s="73">
        <f>SUM(AG8:AG14)</f>
        <v>2890</v>
      </c>
    </row>
    <row r="16" spans="1:31" s="73" customFormat="1" ht="11.25">
      <c r="A16" s="30" t="s">
        <v>79</v>
      </c>
      <c r="B16" s="73" t="s">
        <v>80</v>
      </c>
      <c r="AE16" s="73">
        <v>745</v>
      </c>
    </row>
    <row r="17" s="73" customFormat="1" ht="11.25"/>
    <row r="18" spans="2:35" s="19" customFormat="1" ht="11.25">
      <c r="B18" s="33" t="s">
        <v>208</v>
      </c>
      <c r="L18" s="33">
        <f>SUM(L8:L14)</f>
        <v>1024</v>
      </c>
      <c r="M18" s="33">
        <f aca="true" t="shared" si="3" ref="M18:AC18">SUM(M8:M14)</f>
        <v>1133</v>
      </c>
      <c r="N18" s="33">
        <f t="shared" si="3"/>
        <v>1628</v>
      </c>
      <c r="O18" s="33">
        <f t="shared" si="3"/>
        <v>1628</v>
      </c>
      <c r="P18" s="33">
        <f t="shared" si="3"/>
        <v>1997</v>
      </c>
      <c r="Q18" s="33">
        <f t="shared" si="3"/>
        <v>1997</v>
      </c>
      <c r="R18" s="33">
        <f t="shared" si="3"/>
        <v>2447</v>
      </c>
      <c r="S18" s="33">
        <f t="shared" si="3"/>
        <v>2519</v>
      </c>
      <c r="T18" s="33">
        <f t="shared" si="3"/>
        <v>2708</v>
      </c>
      <c r="U18" s="33">
        <f t="shared" si="3"/>
        <v>2708</v>
      </c>
      <c r="V18" s="33">
        <f t="shared" si="3"/>
        <v>2708</v>
      </c>
      <c r="W18" s="33">
        <f t="shared" si="3"/>
        <v>2967</v>
      </c>
      <c r="X18" s="33">
        <f t="shared" si="3"/>
        <v>3032</v>
      </c>
      <c r="Y18" s="33">
        <f t="shared" si="3"/>
        <v>3746</v>
      </c>
      <c r="Z18" s="33">
        <f t="shared" si="3"/>
        <v>4264</v>
      </c>
      <c r="AA18" s="33">
        <f t="shared" si="3"/>
        <v>4285</v>
      </c>
      <c r="AB18" s="33">
        <f t="shared" si="3"/>
        <v>4870</v>
      </c>
      <c r="AC18" s="33">
        <f t="shared" si="3"/>
        <v>5510</v>
      </c>
      <c r="AD18" s="33">
        <f>SUM(AD8:AD14)</f>
        <v>5598</v>
      </c>
      <c r="AE18" s="79">
        <f>SUM(AE8:AE16)</f>
        <v>4149</v>
      </c>
      <c r="AF18" s="76"/>
      <c r="AH18" s="19">
        <f>AA18-Q18</f>
        <v>2288</v>
      </c>
      <c r="AI18" s="112">
        <f>AH18/Q18*100</f>
        <v>114.57185778668003</v>
      </c>
    </row>
    <row r="19" spans="2:32" s="19" customFormat="1" ht="11.25">
      <c r="B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79"/>
      <c r="AF19" s="76"/>
    </row>
    <row r="20" spans="2:32" s="19" customFormat="1" ht="11.25">
      <c r="B20" s="19" t="s">
        <v>123</v>
      </c>
      <c r="AD20" s="21">
        <v>4149</v>
      </c>
      <c r="AE20" s="76"/>
      <c r="AF20" s="76"/>
    </row>
    <row r="21" spans="2:32" s="77" customFormat="1" ht="11.25">
      <c r="B21" s="77" t="s">
        <v>119</v>
      </c>
      <c r="AD21" s="77">
        <v>832</v>
      </c>
      <c r="AE21" s="78"/>
      <c r="AF21" s="78"/>
    </row>
    <row r="22" spans="2:32" s="77" customFormat="1" ht="11.25">
      <c r="B22" s="77" t="s">
        <v>120</v>
      </c>
      <c r="AD22" s="77">
        <v>345</v>
      </c>
      <c r="AE22" s="78"/>
      <c r="AF22" s="78"/>
    </row>
    <row r="23" spans="2:32" s="77" customFormat="1" ht="11.25">
      <c r="B23" s="77" t="s">
        <v>121</v>
      </c>
      <c r="AD23" s="77">
        <v>2452</v>
      </c>
      <c r="AE23" s="78"/>
      <c r="AF23" s="78"/>
    </row>
    <row r="24" spans="2:32" s="77" customFormat="1" ht="11.25">
      <c r="B24" s="77" t="s">
        <v>122</v>
      </c>
      <c r="AD24" s="77">
        <v>330</v>
      </c>
      <c r="AE24" s="78"/>
      <c r="AF24" s="78"/>
    </row>
    <row r="25" spans="2:32" s="77" customFormat="1" ht="11.25">
      <c r="B25" s="77" t="s">
        <v>118</v>
      </c>
      <c r="AD25" s="77">
        <v>362</v>
      </c>
      <c r="AE25" s="78"/>
      <c r="AF25" s="78"/>
    </row>
    <row r="26" spans="30:32" s="19" customFormat="1" ht="11.25">
      <c r="AD26" s="21"/>
      <c r="AE26" s="76"/>
      <c r="AF26" s="76"/>
    </row>
    <row r="27" spans="30:32" s="19" customFormat="1" ht="11.25">
      <c r="AD27" s="21"/>
      <c r="AE27" s="76"/>
      <c r="AF27" s="76"/>
    </row>
    <row r="28" spans="30:32" s="19" customFormat="1" ht="11.25">
      <c r="AD28" s="21"/>
      <c r="AE28" s="76"/>
      <c r="AF28" s="76"/>
    </row>
    <row r="29" spans="31:32" s="19" customFormat="1" ht="11.25">
      <c r="AE29" s="73"/>
      <c r="AF29" s="73"/>
    </row>
    <row r="30" spans="31:32" s="19" customFormat="1" ht="11.25">
      <c r="AE30" s="73"/>
      <c r="AF30" s="73"/>
    </row>
    <row r="31" spans="31:32" s="19" customFormat="1" ht="11.25">
      <c r="AE31" s="73"/>
      <c r="AF31" s="73"/>
    </row>
    <row r="32" spans="31:32" s="19" customFormat="1" ht="11.25">
      <c r="AE32" s="73"/>
      <c r="AF32" s="73"/>
    </row>
    <row r="33" spans="31:32" s="19" customFormat="1" ht="11.25">
      <c r="AE33" s="73"/>
      <c r="AF33" s="73"/>
    </row>
    <row r="34" spans="31:32" s="19" customFormat="1" ht="11.25">
      <c r="AE34" s="73"/>
      <c r="AF34" s="73"/>
    </row>
    <row r="35" spans="31:32" s="19" customFormat="1" ht="11.25">
      <c r="AE35" s="73"/>
      <c r="AF35" s="73"/>
    </row>
    <row r="36" spans="31:32" s="19" customFormat="1" ht="11.25">
      <c r="AE36" s="73"/>
      <c r="AF36" s="73"/>
    </row>
    <row r="37" spans="31:32" s="19" customFormat="1" ht="11.25">
      <c r="AE37" s="73"/>
      <c r="AF37" s="73"/>
    </row>
    <row r="38" spans="31:32" s="19" customFormat="1" ht="11.25">
      <c r="AE38" s="73"/>
      <c r="AF38" s="7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ajurkeviciute</dc:creator>
  <cp:keywords/>
  <dc:description/>
  <cp:lastModifiedBy>cferris</cp:lastModifiedBy>
  <cp:lastPrinted>2009-06-08T13:27:32Z</cp:lastPrinted>
  <dcterms:created xsi:type="dcterms:W3CDTF">2009-04-29T12:08:06Z</dcterms:created>
  <dcterms:modified xsi:type="dcterms:W3CDTF">2009-11-19T11:23:18Z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