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 activeTab="1"/>
  </bookViews>
  <sheets>
    <sheet name="Data Fig 1" sheetId="1" r:id="rId1"/>
    <sheet name="Fig 2c" sheetId="2" r:id="rId2"/>
  </sheets>
  <calcPr calcId="145621"/>
</workbook>
</file>

<file path=xl/calcChain.xml><?xml version="1.0" encoding="utf-8"?>
<calcChain xmlns="http://schemas.openxmlformats.org/spreadsheetml/2006/main">
  <c r="R110" i="1" l="1"/>
  <c r="S110" i="1" s="1"/>
  <c r="Q110" i="1"/>
  <c r="R111" i="1" s="1"/>
  <c r="S111" i="1" s="1"/>
  <c r="E79" i="1"/>
  <c r="D79" i="1"/>
  <c r="C79" i="1"/>
  <c r="B79" i="1"/>
  <c r="A79" i="1"/>
  <c r="E78" i="1"/>
  <c r="C78" i="1"/>
  <c r="B78" i="1"/>
  <c r="A78" i="1"/>
  <c r="E77" i="1"/>
  <c r="C77" i="1"/>
  <c r="B77" i="1"/>
  <c r="A77" i="1"/>
  <c r="R76" i="1"/>
  <c r="X76" i="1" s="1"/>
  <c r="Q76" i="1"/>
  <c r="E76" i="1"/>
  <c r="D76" i="1"/>
  <c r="C76" i="1"/>
  <c r="A76" i="1"/>
  <c r="R75" i="1"/>
  <c r="Q75" i="1"/>
  <c r="X75" i="1" s="1"/>
  <c r="E75" i="1"/>
  <c r="D75" i="1"/>
  <c r="C75" i="1"/>
  <c r="R74" i="1"/>
  <c r="X74" i="1" s="1"/>
  <c r="Q74" i="1"/>
  <c r="E74" i="1"/>
  <c r="D74" i="1"/>
  <c r="C74" i="1"/>
  <c r="A74" i="1"/>
  <c r="R73" i="1"/>
  <c r="Q73" i="1"/>
  <c r="X73" i="1" s="1"/>
  <c r="E73" i="1"/>
  <c r="D73" i="1"/>
  <c r="C73" i="1"/>
  <c r="R72" i="1"/>
  <c r="X72" i="1" s="1"/>
  <c r="Q72" i="1"/>
  <c r="E72" i="1"/>
  <c r="D72" i="1"/>
  <c r="C72" i="1"/>
  <c r="A72" i="1"/>
  <c r="R71" i="1"/>
  <c r="Q71" i="1"/>
  <c r="X71" i="1" s="1"/>
  <c r="E71" i="1"/>
  <c r="D71" i="1"/>
  <c r="C71" i="1"/>
  <c r="R70" i="1"/>
  <c r="X70" i="1" s="1"/>
  <c r="Q70" i="1"/>
  <c r="E70" i="1"/>
  <c r="D70" i="1"/>
  <c r="C70" i="1"/>
  <c r="A70" i="1"/>
  <c r="R69" i="1"/>
  <c r="Q69" i="1"/>
  <c r="X69" i="1" s="1"/>
  <c r="E69" i="1"/>
  <c r="D69" i="1"/>
  <c r="C69" i="1"/>
  <c r="R68" i="1"/>
  <c r="X68" i="1" s="1"/>
  <c r="Q68" i="1"/>
  <c r="E68" i="1"/>
  <c r="D68" i="1"/>
  <c r="C68" i="1"/>
  <c r="A68" i="1"/>
  <c r="R67" i="1"/>
  <c r="Q67" i="1"/>
  <c r="X67" i="1" s="1"/>
  <c r="E67" i="1"/>
  <c r="C67" i="1"/>
  <c r="R66" i="1"/>
  <c r="Q66" i="1"/>
  <c r="U66" i="1" s="1"/>
  <c r="E66" i="1"/>
  <c r="C66" i="1"/>
  <c r="R65" i="1"/>
  <c r="X65" i="1" s="1"/>
  <c r="Q65" i="1"/>
  <c r="E65" i="1"/>
  <c r="D65" i="1"/>
  <c r="C65" i="1"/>
  <c r="A65" i="1"/>
  <c r="R64" i="1"/>
  <c r="Q64" i="1"/>
  <c r="X64" i="1" s="1"/>
  <c r="E64" i="1"/>
  <c r="D64" i="1"/>
  <c r="C64" i="1"/>
  <c r="R63" i="1"/>
  <c r="X63" i="1" s="1"/>
  <c r="Q63" i="1"/>
  <c r="E63" i="1"/>
  <c r="D63" i="1"/>
  <c r="C63" i="1"/>
  <c r="A63" i="1"/>
  <c r="R62" i="1"/>
  <c r="Q62" i="1"/>
  <c r="X62" i="1" s="1"/>
  <c r="E62" i="1"/>
  <c r="D62" i="1"/>
  <c r="C62" i="1"/>
  <c r="R61" i="1"/>
  <c r="X61" i="1" s="1"/>
  <c r="Q61" i="1"/>
  <c r="E61" i="1"/>
  <c r="D61" i="1"/>
  <c r="A61" i="1"/>
  <c r="R60" i="1"/>
  <c r="X60" i="1" s="1"/>
  <c r="Q60" i="1"/>
  <c r="E60" i="1"/>
  <c r="D60" i="1"/>
  <c r="C60" i="1"/>
  <c r="A60" i="1"/>
  <c r="R59" i="1"/>
  <c r="Q59" i="1"/>
  <c r="X59" i="1" s="1"/>
  <c r="E59" i="1"/>
  <c r="D59" i="1"/>
  <c r="C59" i="1"/>
  <c r="R58" i="1"/>
  <c r="X58" i="1" s="1"/>
  <c r="Q58" i="1"/>
  <c r="E58" i="1"/>
  <c r="D58" i="1"/>
  <c r="C58" i="1"/>
  <c r="A58" i="1"/>
  <c r="R57" i="1"/>
  <c r="Q57" i="1"/>
  <c r="X57" i="1" s="1"/>
  <c r="E57" i="1"/>
  <c r="D57" i="1"/>
  <c r="C57" i="1"/>
  <c r="R56" i="1"/>
  <c r="X56" i="1" s="1"/>
  <c r="Q56" i="1"/>
  <c r="E56" i="1"/>
  <c r="D56" i="1"/>
  <c r="C56" i="1"/>
  <c r="A56" i="1"/>
  <c r="R55" i="1"/>
  <c r="Q55" i="1"/>
  <c r="X55" i="1" s="1"/>
  <c r="E55" i="1"/>
  <c r="D55" i="1"/>
  <c r="C55" i="1"/>
  <c r="R54" i="1"/>
  <c r="T54" i="1" s="1"/>
  <c r="U54" i="1" s="1"/>
  <c r="V54" i="1" s="1"/>
  <c r="W54" i="1" s="1"/>
  <c r="Q54" i="1"/>
  <c r="X54" i="1" s="1"/>
  <c r="E54" i="1"/>
  <c r="D54" i="1"/>
  <c r="C54" i="1"/>
  <c r="A54" i="1"/>
  <c r="R53" i="1"/>
  <c r="Q53" i="1"/>
  <c r="E53" i="1"/>
  <c r="A53" i="1"/>
  <c r="R52" i="1"/>
  <c r="Q52" i="1"/>
  <c r="X52" i="1" s="1"/>
  <c r="E52" i="1"/>
  <c r="D52" i="1"/>
  <c r="C52" i="1"/>
  <c r="R51" i="1"/>
  <c r="Q51" i="1"/>
  <c r="X51" i="1" s="1"/>
  <c r="E51" i="1"/>
  <c r="D51" i="1"/>
  <c r="C51" i="1"/>
  <c r="A51" i="1"/>
  <c r="R50" i="1"/>
  <c r="Q50" i="1"/>
  <c r="X50" i="1" s="1"/>
  <c r="E50" i="1"/>
  <c r="D50" i="1"/>
  <c r="C50" i="1"/>
  <c r="E49" i="1"/>
  <c r="J49" i="1" s="1"/>
  <c r="J48" i="1"/>
  <c r="E48" i="1"/>
  <c r="L48" i="1" s="1"/>
  <c r="G43" i="1"/>
  <c r="V39" i="1"/>
  <c r="X39" i="1" s="1"/>
  <c r="W39" i="1" s="1"/>
  <c r="U39" i="1"/>
  <c r="R39" i="1"/>
  <c r="Q39" i="1"/>
  <c r="S39" i="1"/>
  <c r="T39" i="1" s="1"/>
  <c r="K39" i="1"/>
  <c r="V38" i="1"/>
  <c r="X38" i="1" s="1"/>
  <c r="S38" i="1"/>
  <c r="P38" i="1"/>
  <c r="T38" i="1" s="1"/>
  <c r="M38" i="1"/>
  <c r="K38" i="1"/>
  <c r="E38" i="1"/>
  <c r="D78" i="1" s="1"/>
  <c r="V37" i="1"/>
  <c r="X37" i="1" s="1"/>
  <c r="U37" i="1"/>
  <c r="P37" i="1"/>
  <c r="S37" i="1"/>
  <c r="K37" i="1"/>
  <c r="E37" i="1"/>
  <c r="D77" i="1" s="1"/>
  <c r="AA36" i="1"/>
  <c r="V36" i="1"/>
  <c r="X36" i="1" s="1"/>
  <c r="U36" i="1"/>
  <c r="S36" i="1"/>
  <c r="P36" i="1"/>
  <c r="T36" i="1" s="1"/>
  <c r="M36" i="1"/>
  <c r="K36" i="1"/>
  <c r="V35" i="1"/>
  <c r="X35" i="1" s="1"/>
  <c r="U35" i="1"/>
  <c r="S35" i="1"/>
  <c r="P35" i="1"/>
  <c r="T35" i="1" s="1"/>
  <c r="M35" i="1"/>
  <c r="K35" i="1"/>
  <c r="V34" i="1"/>
  <c r="X34" i="1" s="1"/>
  <c r="U34" i="1"/>
  <c r="S34" i="1"/>
  <c r="P34" i="1"/>
  <c r="T34" i="1" s="1"/>
  <c r="M34" i="1"/>
  <c r="K34" i="1"/>
  <c r="V33" i="1"/>
  <c r="X33" i="1" s="1"/>
  <c r="U33" i="1"/>
  <c r="S33" i="1"/>
  <c r="P33" i="1"/>
  <c r="T33" i="1" s="1"/>
  <c r="M33" i="1"/>
  <c r="K33" i="1"/>
  <c r="V32" i="1"/>
  <c r="X32" i="1" s="1"/>
  <c r="U32" i="1"/>
  <c r="S32" i="1"/>
  <c r="P32" i="1"/>
  <c r="T32" i="1" s="1"/>
  <c r="M32" i="1"/>
  <c r="K32" i="1"/>
  <c r="V31" i="1"/>
  <c r="X31" i="1" s="1"/>
  <c r="U31" i="1"/>
  <c r="S31" i="1"/>
  <c r="P31" i="1"/>
  <c r="T31" i="1" s="1"/>
  <c r="M31" i="1"/>
  <c r="K31" i="1"/>
  <c r="V30" i="1"/>
  <c r="X30" i="1" s="1"/>
  <c r="U30" i="1"/>
  <c r="S30" i="1"/>
  <c r="P30" i="1"/>
  <c r="T30" i="1" s="1"/>
  <c r="M30" i="1"/>
  <c r="K30" i="1"/>
  <c r="V29" i="1"/>
  <c r="X29" i="1" s="1"/>
  <c r="U29" i="1"/>
  <c r="S29" i="1"/>
  <c r="P29" i="1"/>
  <c r="T29" i="1" s="1"/>
  <c r="M29" i="1"/>
  <c r="K29" i="1"/>
  <c r="AA28" i="1"/>
  <c r="V28" i="1"/>
  <c r="X28" i="1" s="1"/>
  <c r="U28" i="1"/>
  <c r="S28" i="1"/>
  <c r="P28" i="1"/>
  <c r="T28" i="1" s="1"/>
  <c r="M28" i="1"/>
  <c r="K28" i="1"/>
  <c r="AA27" i="1"/>
  <c r="V27" i="1"/>
  <c r="X27" i="1" s="1"/>
  <c r="Z27" i="1" s="1"/>
  <c r="U27" i="1"/>
  <c r="P27" i="1"/>
  <c r="S27" i="1"/>
  <c r="K27" i="1"/>
  <c r="AB26" i="1"/>
  <c r="V26" i="1"/>
  <c r="X26" i="1" s="1"/>
  <c r="U26" i="1"/>
  <c r="P26" i="1"/>
  <c r="K26" i="1"/>
  <c r="V25" i="1"/>
  <c r="U25" i="1"/>
  <c r="P25" i="1"/>
  <c r="S25" i="1"/>
  <c r="K25" i="1"/>
  <c r="V24" i="1"/>
  <c r="U24" i="1"/>
  <c r="S24" i="1"/>
  <c r="P24" i="1"/>
  <c r="T24" i="1" s="1"/>
  <c r="M24" i="1"/>
  <c r="K24" i="1"/>
  <c r="X24" i="1" s="1"/>
  <c r="Z24" i="1" s="1"/>
  <c r="V23" i="1"/>
  <c r="X23" i="1" s="1"/>
  <c r="U23" i="1"/>
  <c r="S23" i="1"/>
  <c r="P23" i="1"/>
  <c r="T23" i="1" s="1"/>
  <c r="M23" i="1"/>
  <c r="K23" i="1"/>
  <c r="V22" i="1"/>
  <c r="X22" i="1" s="1"/>
  <c r="U22" i="1"/>
  <c r="S22" i="1"/>
  <c r="P22" i="1"/>
  <c r="T22" i="1" s="1"/>
  <c r="M22" i="1"/>
  <c r="K22" i="1"/>
  <c r="V21" i="1"/>
  <c r="X21" i="1" s="1"/>
  <c r="U21" i="1"/>
  <c r="S21" i="1"/>
  <c r="P21" i="1"/>
  <c r="T21" i="1" s="1"/>
  <c r="M21" i="1"/>
  <c r="K21" i="1"/>
  <c r="V20" i="1"/>
  <c r="X20" i="1" s="1"/>
  <c r="U20" i="1"/>
  <c r="S20" i="1"/>
  <c r="P20" i="1"/>
  <c r="T20" i="1" s="1"/>
  <c r="M20" i="1"/>
  <c r="K20" i="1"/>
  <c r="V19" i="1"/>
  <c r="X19" i="1" s="1"/>
  <c r="U19" i="1"/>
  <c r="S19" i="1"/>
  <c r="P19" i="1"/>
  <c r="T19" i="1" s="1"/>
  <c r="M19" i="1"/>
  <c r="K19" i="1"/>
  <c r="AA18" i="1"/>
  <c r="V18" i="1"/>
  <c r="X18" i="1" s="1"/>
  <c r="U18" i="1"/>
  <c r="S18" i="1"/>
  <c r="P18" i="1"/>
  <c r="T18" i="1" s="1"/>
  <c r="M18" i="1"/>
  <c r="K18" i="1"/>
  <c r="V17" i="1"/>
  <c r="X17" i="1" s="1"/>
  <c r="U17" i="1"/>
  <c r="S17" i="1"/>
  <c r="P17" i="1"/>
  <c r="T17" i="1" s="1"/>
  <c r="M17" i="1"/>
  <c r="K17" i="1"/>
  <c r="V16" i="1"/>
  <c r="U16" i="1"/>
  <c r="P16" i="1"/>
  <c r="S16" i="1"/>
  <c r="K16" i="1"/>
  <c r="V15" i="1"/>
  <c r="U15" i="1"/>
  <c r="P15" i="1"/>
  <c r="S15" i="1"/>
  <c r="K15" i="1"/>
  <c r="AB14" i="1"/>
  <c r="AA14" i="1"/>
  <c r="V14" i="1"/>
  <c r="U14" i="1"/>
  <c r="P14" i="1"/>
  <c r="S14" i="1"/>
  <c r="K14" i="1"/>
  <c r="V13" i="1"/>
  <c r="X13" i="1" s="1"/>
  <c r="Z13" i="1" s="1"/>
  <c r="U13" i="1"/>
  <c r="R13" i="1"/>
  <c r="Y13" i="1" s="1"/>
  <c r="P13" i="1"/>
  <c r="M13" i="1"/>
  <c r="S13" i="1"/>
  <c r="T13" i="1" s="1"/>
  <c r="K13" i="1"/>
  <c r="V12" i="1"/>
  <c r="X12" i="1" s="1"/>
  <c r="U12" i="1"/>
  <c r="S12" i="1"/>
  <c r="P12" i="1"/>
  <c r="T12" i="1" s="1"/>
  <c r="M12" i="1"/>
  <c r="K12" i="1"/>
  <c r="V11" i="1"/>
  <c r="X11" i="1" s="1"/>
  <c r="U11" i="1"/>
  <c r="S11" i="1"/>
  <c r="P11" i="1"/>
  <c r="T11" i="1" s="1"/>
  <c r="M11" i="1"/>
  <c r="K11" i="1"/>
  <c r="AA10" i="1"/>
  <c r="V10" i="1"/>
  <c r="X10" i="1" s="1"/>
  <c r="U10" i="1"/>
  <c r="S10" i="1"/>
  <c r="P10" i="1"/>
  <c r="T10" i="1" s="1"/>
  <c r="M10" i="1"/>
  <c r="K10" i="1"/>
  <c r="L9" i="1"/>
  <c r="G9" i="1"/>
  <c r="C9" i="1"/>
  <c r="M9" i="1" s="1"/>
  <c r="L8" i="1"/>
  <c r="G8" i="1"/>
  <c r="C8" i="1"/>
  <c r="M8" i="1" s="1"/>
  <c r="L7" i="1"/>
  <c r="V6" i="1"/>
  <c r="U6" i="1"/>
  <c r="V5" i="1"/>
  <c r="U5" i="1"/>
  <c r="S5" i="1"/>
  <c r="I5" i="1"/>
  <c r="G5" i="1"/>
  <c r="G7" i="1" s="1"/>
  <c r="C5" i="1"/>
  <c r="P5" i="1" s="1"/>
  <c r="T5" i="1" s="1"/>
  <c r="Z12" i="1" l="1"/>
  <c r="W12" i="1"/>
  <c r="Z18" i="1"/>
  <c r="W18" i="1"/>
  <c r="Z19" i="1"/>
  <c r="W19" i="1"/>
  <c r="Z21" i="1"/>
  <c r="W21" i="1"/>
  <c r="Z23" i="1"/>
  <c r="W23" i="1"/>
  <c r="Z10" i="1"/>
  <c r="W10" i="1"/>
  <c r="Z11" i="1"/>
  <c r="W11" i="1"/>
  <c r="Z17" i="1"/>
  <c r="W17" i="1"/>
  <c r="Z20" i="1"/>
  <c r="W20" i="1"/>
  <c r="Z22" i="1"/>
  <c r="W22" i="1"/>
  <c r="M5" i="1"/>
  <c r="R14" i="1"/>
  <c r="Y14" i="1" s="1"/>
  <c r="T14" i="1"/>
  <c r="X14" i="1"/>
  <c r="Z14" i="1" s="1"/>
  <c r="R15" i="1"/>
  <c r="Y15" i="1" s="1"/>
  <c r="T15" i="1"/>
  <c r="X15" i="1"/>
  <c r="Z15" i="1" s="1"/>
  <c r="R16" i="1"/>
  <c r="Y16" i="1" s="1"/>
  <c r="T16" i="1"/>
  <c r="X16" i="1"/>
  <c r="Z16" i="1" s="1"/>
  <c r="T25" i="1"/>
  <c r="W30" i="1"/>
  <c r="Z30" i="1"/>
  <c r="W32" i="1"/>
  <c r="Z32" i="1"/>
  <c r="W34" i="1"/>
  <c r="Z34" i="1"/>
  <c r="W36" i="1"/>
  <c r="Z36" i="1"/>
  <c r="C7" i="1"/>
  <c r="R10" i="1"/>
  <c r="R11" i="1"/>
  <c r="R12" i="1"/>
  <c r="M14" i="1"/>
  <c r="M15" i="1"/>
  <c r="M16" i="1"/>
  <c r="R17" i="1"/>
  <c r="R18" i="1"/>
  <c r="R19" i="1"/>
  <c r="R20" i="1"/>
  <c r="R21" i="1"/>
  <c r="R22" i="1"/>
  <c r="R23" i="1"/>
  <c r="R24" i="1"/>
  <c r="M25" i="1"/>
  <c r="R25" i="1"/>
  <c r="Y25" i="1" s="1"/>
  <c r="AA25" i="1" s="1"/>
  <c r="X25" i="1"/>
  <c r="Z25" i="1" s="1"/>
  <c r="S26" i="1"/>
  <c r="T26" i="1" s="1"/>
  <c r="M26" i="1"/>
  <c r="T27" i="1"/>
  <c r="W28" i="1"/>
  <c r="Z28" i="1"/>
  <c r="W29" i="1"/>
  <c r="Z29" i="1"/>
  <c r="W31" i="1"/>
  <c r="Z31" i="1"/>
  <c r="W33" i="1"/>
  <c r="Z33" i="1"/>
  <c r="W35" i="1"/>
  <c r="Z35" i="1"/>
  <c r="T37" i="1"/>
  <c r="M27" i="1"/>
  <c r="R28" i="1"/>
  <c r="R29" i="1"/>
  <c r="R30" i="1"/>
  <c r="R31" i="1"/>
  <c r="R32" i="1"/>
  <c r="R33" i="1"/>
  <c r="R34" i="1"/>
  <c r="R35" i="1"/>
  <c r="R36" i="1"/>
  <c r="M37" i="1"/>
  <c r="W37" i="1"/>
  <c r="R38" i="1"/>
  <c r="Q38" i="1" s="1"/>
  <c r="W38" i="1"/>
  <c r="M39" i="1"/>
  <c r="L49" i="1"/>
  <c r="T51" i="1"/>
  <c r="U51" i="1" s="1"/>
  <c r="V51" i="1" s="1"/>
  <c r="W51" i="1" s="1"/>
  <c r="R27" i="1"/>
  <c r="Y27" i="1" s="1"/>
  <c r="R37" i="1"/>
  <c r="Q37" i="1" s="1"/>
  <c r="A50" i="1"/>
  <c r="T50" i="1"/>
  <c r="U50" i="1" s="1"/>
  <c r="AB10" i="1" s="1"/>
  <c r="A52" i="1"/>
  <c r="T52" i="1"/>
  <c r="U52" i="1" s="1"/>
  <c r="V52" i="1" s="1"/>
  <c r="W52" i="1" s="1"/>
  <c r="C53" i="1"/>
  <c r="X53" i="1"/>
  <c r="T53" i="1"/>
  <c r="U53" i="1" s="1"/>
  <c r="AB13" i="1" s="1"/>
  <c r="V66" i="1"/>
  <c r="T56" i="1"/>
  <c r="U56" i="1" s="1"/>
  <c r="T58" i="1"/>
  <c r="U58" i="1" s="1"/>
  <c r="V58" i="1" s="1"/>
  <c r="W58" i="1" s="1"/>
  <c r="T60" i="1"/>
  <c r="U60" i="1" s="1"/>
  <c r="V60" i="1" s="1"/>
  <c r="W60" i="1" s="1"/>
  <c r="T61" i="1"/>
  <c r="U61" i="1" s="1"/>
  <c r="V61" i="1" s="1"/>
  <c r="W61" i="1" s="1"/>
  <c r="T63" i="1"/>
  <c r="U63" i="1" s="1"/>
  <c r="V63" i="1" s="1"/>
  <c r="W63" i="1" s="1"/>
  <c r="T65" i="1"/>
  <c r="U65" i="1" s="1"/>
  <c r="V65" i="1" s="1"/>
  <c r="W65" i="1" s="1"/>
  <c r="T68" i="1"/>
  <c r="U68" i="1" s="1"/>
  <c r="V68" i="1" s="1"/>
  <c r="W68" i="1" s="1"/>
  <c r="T70" i="1"/>
  <c r="U70" i="1" s="1"/>
  <c r="V70" i="1" s="1"/>
  <c r="W70" i="1" s="1"/>
  <c r="T72" i="1"/>
  <c r="U72" i="1" s="1"/>
  <c r="V72" i="1" s="1"/>
  <c r="W72" i="1" s="1"/>
  <c r="T74" i="1"/>
  <c r="U74" i="1" s="1"/>
  <c r="V74" i="1" s="1"/>
  <c r="W74" i="1" s="1"/>
  <c r="T76" i="1"/>
  <c r="U76" i="1" s="1"/>
  <c r="V76" i="1" s="1"/>
  <c r="W76" i="1" s="1"/>
  <c r="A55" i="1"/>
  <c r="T55" i="1"/>
  <c r="U55" i="1" s="1"/>
  <c r="V55" i="1" s="1"/>
  <c r="W55" i="1" s="1"/>
  <c r="A57" i="1"/>
  <c r="T57" i="1"/>
  <c r="U57" i="1" s="1"/>
  <c r="V57" i="1" s="1"/>
  <c r="W57" i="1" s="1"/>
  <c r="A59" i="1"/>
  <c r="T59" i="1"/>
  <c r="U59" i="1" s="1"/>
  <c r="V59" i="1" s="1"/>
  <c r="W59" i="1" s="1"/>
  <c r="A62" i="1"/>
  <c r="T62" i="1"/>
  <c r="U62" i="1" s="1"/>
  <c r="V62" i="1" s="1"/>
  <c r="W62" i="1" s="1"/>
  <c r="A64" i="1"/>
  <c r="T64" i="1"/>
  <c r="U64" i="1" s="1"/>
  <c r="V64" i="1" s="1"/>
  <c r="W64" i="1" s="1"/>
  <c r="A66" i="1"/>
  <c r="D66" i="1"/>
  <c r="A67" i="1"/>
  <c r="D67" i="1"/>
  <c r="T67" i="1"/>
  <c r="U67" i="1" s="1"/>
  <c r="AB27" i="1" s="1"/>
  <c r="A69" i="1"/>
  <c r="T69" i="1"/>
  <c r="U69" i="1" s="1"/>
  <c r="V69" i="1" s="1"/>
  <c r="W69" i="1" s="1"/>
  <c r="A71" i="1"/>
  <c r="T71" i="1"/>
  <c r="U71" i="1" s="1"/>
  <c r="V71" i="1" s="1"/>
  <c r="W71" i="1" s="1"/>
  <c r="A73" i="1"/>
  <c r="T73" i="1"/>
  <c r="U73" i="1" s="1"/>
  <c r="V73" i="1" s="1"/>
  <c r="W73" i="1" s="1"/>
  <c r="A75" i="1"/>
  <c r="T75" i="1"/>
  <c r="U75" i="1" s="1"/>
  <c r="V75" i="1" s="1"/>
  <c r="W75" i="1" s="1"/>
  <c r="V53" i="1" l="1"/>
  <c r="W53" i="1" s="1"/>
  <c r="V67" i="1"/>
  <c r="W67" i="1" s="1"/>
  <c r="Y35" i="1"/>
  <c r="AA35" i="1" s="1"/>
  <c r="AB35" i="1" s="1"/>
  <c r="Q35" i="1"/>
  <c r="Y33" i="1"/>
  <c r="AA33" i="1" s="1"/>
  <c r="AB33" i="1" s="1"/>
  <c r="Q33" i="1"/>
  <c r="Y31" i="1"/>
  <c r="AA31" i="1" s="1"/>
  <c r="AB31" i="1" s="1"/>
  <c r="Q31" i="1"/>
  <c r="Y29" i="1"/>
  <c r="AA29" i="1" s="1"/>
  <c r="AB29" i="1" s="1"/>
  <c r="Q29" i="1"/>
  <c r="Q27" i="1"/>
  <c r="AB25" i="1"/>
  <c r="Y24" i="1"/>
  <c r="AA24" i="1" s="1"/>
  <c r="AB24" i="1" s="1"/>
  <c r="Q24" i="1"/>
  <c r="Y22" i="1"/>
  <c r="AA22" i="1" s="1"/>
  <c r="AB22" i="1" s="1"/>
  <c r="Q22" i="1"/>
  <c r="Y20" i="1"/>
  <c r="AA20" i="1" s="1"/>
  <c r="AB20" i="1" s="1"/>
  <c r="Q20" i="1"/>
  <c r="Y18" i="1"/>
  <c r="Q18" i="1"/>
  <c r="Y11" i="1"/>
  <c r="AA11" i="1" s="1"/>
  <c r="AB11" i="1" s="1"/>
  <c r="Q11" i="1"/>
  <c r="K43" i="1"/>
  <c r="M7" i="1"/>
  <c r="AB28" i="1"/>
  <c r="W25" i="1"/>
  <c r="Q25" i="1"/>
  <c r="AA15" i="1"/>
  <c r="AB15" i="1" s="1"/>
  <c r="AB18" i="1"/>
  <c r="Q15" i="1"/>
  <c r="Q16" i="1"/>
  <c r="Q14" i="1"/>
  <c r="V56" i="1"/>
  <c r="W56" i="1" s="1"/>
  <c r="AB16" i="1"/>
  <c r="Y36" i="1"/>
  <c r="Q36" i="1"/>
  <c r="Y34" i="1"/>
  <c r="AA34" i="1" s="1"/>
  <c r="AB34" i="1" s="1"/>
  <c r="Q34" i="1"/>
  <c r="Y32" i="1"/>
  <c r="AA32" i="1" s="1"/>
  <c r="AB32" i="1" s="1"/>
  <c r="Q32" i="1"/>
  <c r="Y30" i="1"/>
  <c r="AA30" i="1" s="1"/>
  <c r="AB30" i="1" s="1"/>
  <c r="Q30" i="1"/>
  <c r="Y28" i="1"/>
  <c r="Q28" i="1"/>
  <c r="AB36" i="1"/>
  <c r="Y23" i="1"/>
  <c r="AA23" i="1" s="1"/>
  <c r="AB23" i="1" s="1"/>
  <c r="Q23" i="1"/>
  <c r="Y21" i="1"/>
  <c r="AA21" i="1" s="1"/>
  <c r="AB21" i="1" s="1"/>
  <c r="Q21" i="1"/>
  <c r="Y19" i="1"/>
  <c r="AA19" i="1" s="1"/>
  <c r="AB19" i="1" s="1"/>
  <c r="Q19" i="1"/>
  <c r="Y17" i="1"/>
  <c r="AA17" i="1" s="1"/>
  <c r="AB17" i="1" s="1"/>
  <c r="Q17" i="1"/>
  <c r="Y12" i="1"/>
  <c r="AA12" i="1" s="1"/>
  <c r="AB12" i="1" s="1"/>
  <c r="Q12" i="1"/>
  <c r="Y10" i="1"/>
  <c r="Q10" i="1"/>
  <c r="V50" i="1"/>
  <c r="W50" i="1" s="1"/>
  <c r="W15" i="1"/>
  <c r="W16" i="1"/>
  <c r="W14" i="1"/>
</calcChain>
</file>

<file path=xl/comments1.xml><?xml version="1.0" encoding="utf-8"?>
<comments xmlns="http://schemas.openxmlformats.org/spreadsheetml/2006/main">
  <authors>
    <author>SIMON MINETT</author>
    <author>Simon Minett</author>
  </authors>
  <commentList>
    <comment ref="I10" authorId="0">
      <text>
        <r>
          <rPr>
            <b/>
            <sz val="9"/>
            <color indexed="81"/>
            <rFont val="Tahoma"/>
            <charset val="1"/>
          </rPr>
          <t>SIMON MINETT:</t>
        </r>
        <r>
          <rPr>
            <sz val="9"/>
            <color indexed="81"/>
            <rFont val="Tahoma"/>
            <charset val="1"/>
          </rPr>
          <t xml:space="preserve">
2008 Data - 2009 data not provided</t>
        </r>
      </text>
    </comment>
    <comment ref="J10" authorId="0">
      <text>
        <r>
          <rPr>
            <b/>
            <sz val="9"/>
            <color indexed="81"/>
            <rFont val="Tahoma"/>
            <charset val="1"/>
          </rPr>
          <t>SIMON MINETT:</t>
        </r>
        <r>
          <rPr>
            <sz val="9"/>
            <color indexed="81"/>
            <rFont val="Tahoma"/>
            <charset val="1"/>
          </rPr>
          <t xml:space="preserve">
2008 data, not specified in 2009</t>
        </r>
      </text>
    </comment>
    <comment ref="AA10" authorId="1">
      <text>
        <r>
          <rPr>
            <b/>
            <sz val="9"/>
            <color indexed="81"/>
            <rFont val="Tahoma"/>
            <family val="2"/>
          </rPr>
          <t>Simon Minett:</t>
        </r>
        <r>
          <rPr>
            <sz val="9"/>
            <color indexed="81"/>
            <rFont val="Tahoma"/>
            <family val="2"/>
          </rPr>
          <t xml:space="preserve">
Big difference between split for electricity and heat, so STM input estimate of 30% of fuel for autoproducers - 10% for refining
</t>
        </r>
      </text>
    </comment>
    <comment ref="AA12" authorId="1">
      <text>
        <r>
          <rPr>
            <b/>
            <sz val="9"/>
            <color indexed="81"/>
            <rFont val="Tahoma"/>
            <family val="2"/>
          </rPr>
          <t>Simon Minett:</t>
        </r>
        <r>
          <rPr>
            <sz val="9"/>
            <color indexed="81"/>
            <rFont val="Tahoma"/>
            <family val="2"/>
          </rPr>
          <t xml:space="preserve">
average - 10% for refining</t>
        </r>
      </text>
    </comment>
    <comment ref="E13" authorId="0">
      <text>
        <r>
          <rPr>
            <b/>
            <sz val="9"/>
            <color indexed="81"/>
            <rFont val="Tahoma"/>
            <charset val="1"/>
          </rPr>
          <t>SIMON MINETT:</t>
        </r>
        <r>
          <rPr>
            <sz val="9"/>
            <color indexed="81"/>
            <rFont val="Tahoma"/>
            <charset val="1"/>
          </rPr>
          <t xml:space="preserve">
2008 Data</t>
        </r>
      </text>
    </comment>
    <comment ref="AA13" authorId="1">
      <text>
        <r>
          <rPr>
            <b/>
            <sz val="9"/>
            <color indexed="81"/>
            <rFont val="Tahoma"/>
            <family val="2"/>
          </rPr>
          <t>Simon Minett:</t>
        </r>
        <r>
          <rPr>
            <sz val="9"/>
            <color indexed="81"/>
            <rFont val="Tahoma"/>
            <family val="2"/>
          </rPr>
          <t xml:space="preserve">
In Denmark most CHP is in Main activity producers
STM estimate for autoproducers is 15%</t>
        </r>
      </text>
    </comment>
    <comment ref="AA14" authorId="1">
      <text>
        <r>
          <rPr>
            <b/>
            <sz val="9"/>
            <color indexed="81"/>
            <rFont val="Tahoma"/>
            <family val="2"/>
          </rPr>
          <t>Simon Minett:</t>
        </r>
        <r>
          <rPr>
            <sz val="9"/>
            <color indexed="81"/>
            <rFont val="Tahoma"/>
            <family val="2"/>
          </rPr>
          <t xml:space="preserve">
Use a share closer to the electricity share.  A lot of the heat is in DH
- 5% for refining</t>
        </r>
      </text>
    </comment>
    <comment ref="AA16" authorId="1">
      <text>
        <r>
          <rPr>
            <b/>
            <sz val="9"/>
            <color indexed="81"/>
            <rFont val="Tahoma"/>
            <family val="2"/>
          </rPr>
          <t>Simon Minett:</t>
        </r>
        <r>
          <rPr>
            <sz val="9"/>
            <color indexed="81"/>
            <rFont val="Tahoma"/>
            <family val="2"/>
          </rPr>
          <t xml:space="preserve">
Half of CHP is main activity proucers - STM estimate</t>
        </r>
      </text>
    </comment>
    <comment ref="AA18" authorId="1">
      <text>
        <r>
          <rPr>
            <b/>
            <sz val="9"/>
            <color indexed="81"/>
            <rFont val="Tahoma"/>
            <family val="2"/>
          </rPr>
          <t>Simon Minett:</t>
        </r>
        <r>
          <rPr>
            <sz val="9"/>
            <color indexed="81"/>
            <rFont val="Tahoma"/>
            <family val="2"/>
          </rPr>
          <t xml:space="preserve">
50% of all CHP capacity is owned/operated by Utilities and -10% for refining</t>
        </r>
      </text>
    </comment>
    <comment ref="AA19" authorId="1">
      <text>
        <r>
          <rPr>
            <b/>
            <sz val="9"/>
            <color indexed="81"/>
            <rFont val="Tahoma"/>
            <family val="2"/>
          </rPr>
          <t>Simon Minett:</t>
        </r>
        <r>
          <rPr>
            <sz val="9"/>
            <color indexed="81"/>
            <rFont val="Tahoma"/>
            <family val="2"/>
          </rPr>
          <t xml:space="preserve">
average - 10% for refining</t>
        </r>
      </text>
    </comment>
    <comment ref="AA20" authorId="1">
      <text>
        <r>
          <rPr>
            <b/>
            <sz val="9"/>
            <color indexed="81"/>
            <rFont val="Tahoma"/>
            <family val="2"/>
          </rPr>
          <t>Simon Minett:</t>
        </r>
        <r>
          <rPr>
            <sz val="9"/>
            <color indexed="81"/>
            <rFont val="Tahoma"/>
            <family val="2"/>
          </rPr>
          <t xml:space="preserve">
-10% for refining
</t>
        </r>
      </text>
    </comment>
    <comment ref="E21" authorId="0">
      <text>
        <r>
          <rPr>
            <b/>
            <sz val="9"/>
            <color indexed="81"/>
            <rFont val="Tahoma"/>
            <charset val="1"/>
          </rPr>
          <t>SIMON MINETT:</t>
        </r>
        <r>
          <rPr>
            <sz val="9"/>
            <color indexed="81"/>
            <rFont val="Tahoma"/>
            <charset val="1"/>
          </rPr>
          <t xml:space="preserve">
2008 data
</t>
        </r>
      </text>
    </comment>
    <comment ref="E27" authorId="0">
      <text>
        <r>
          <rPr>
            <b/>
            <sz val="9"/>
            <color indexed="81"/>
            <rFont val="Tahoma"/>
            <charset val="1"/>
          </rPr>
          <t>SIMON MINETT:</t>
        </r>
        <r>
          <rPr>
            <sz val="9"/>
            <color indexed="81"/>
            <rFont val="Tahoma"/>
            <charset val="1"/>
          </rPr>
          <t xml:space="preserve">
2008 data
</t>
        </r>
      </text>
    </comment>
    <comment ref="AA27" authorId="1">
      <text>
        <r>
          <rPr>
            <b/>
            <sz val="9"/>
            <color indexed="81"/>
            <rFont val="Tahoma"/>
            <family val="2"/>
          </rPr>
          <t>Simon Minett:</t>
        </r>
        <r>
          <rPr>
            <sz val="9"/>
            <color indexed="81"/>
            <rFont val="Tahoma"/>
            <family val="2"/>
          </rPr>
          <t xml:space="preserve">
50% of capaity is owned/operated by Utilities and -10% for refining</t>
        </r>
      </text>
    </comment>
    <comment ref="E28" authorId="0">
      <text>
        <r>
          <rPr>
            <b/>
            <sz val="9"/>
            <color indexed="81"/>
            <rFont val="Tahoma"/>
            <charset val="1"/>
          </rPr>
          <t>SIMON MINETT:</t>
        </r>
        <r>
          <rPr>
            <sz val="9"/>
            <color indexed="81"/>
            <rFont val="Tahoma"/>
            <charset val="1"/>
          </rPr>
          <t xml:space="preserve">
2008 data
</t>
        </r>
      </text>
    </comment>
    <comment ref="AA28" authorId="1">
      <text>
        <r>
          <rPr>
            <b/>
            <sz val="9"/>
            <color indexed="81"/>
            <rFont val="Tahoma"/>
            <family val="2"/>
          </rPr>
          <t>Simon Minett:</t>
        </r>
        <r>
          <rPr>
            <sz val="9"/>
            <color indexed="81"/>
            <rFont val="Tahoma"/>
            <family val="2"/>
          </rPr>
          <t xml:space="preserve">
STM estimates that 50% is operated by utilities and -5% for refining</t>
        </r>
      </text>
    </comment>
    <comment ref="AA30" authorId="1">
      <text>
        <r>
          <rPr>
            <b/>
            <sz val="9"/>
            <color indexed="81"/>
            <rFont val="Tahoma"/>
            <family val="2"/>
          </rPr>
          <t>Simon Minett:</t>
        </r>
        <r>
          <rPr>
            <sz val="9"/>
            <color indexed="81"/>
            <rFont val="Tahoma"/>
            <family val="2"/>
          </rPr>
          <t xml:space="preserve">
average -10% for refining</t>
        </r>
      </text>
    </comment>
    <comment ref="D36" authorId="0">
      <text>
        <r>
          <rPr>
            <b/>
            <sz val="9"/>
            <color indexed="81"/>
            <rFont val="Tahoma"/>
            <charset val="1"/>
          </rPr>
          <t>SIMON MINETT:</t>
        </r>
        <r>
          <rPr>
            <sz val="9"/>
            <color indexed="81"/>
            <rFont val="Tahoma"/>
            <charset val="1"/>
          </rPr>
          <t xml:space="preserve">
2008 data</t>
        </r>
      </text>
    </comment>
    <comment ref="E36" authorId="0">
      <text>
        <r>
          <rPr>
            <b/>
            <sz val="9"/>
            <color indexed="81"/>
            <rFont val="Tahoma"/>
            <charset val="1"/>
          </rPr>
          <t>SIMON MINETT:</t>
        </r>
        <r>
          <rPr>
            <sz val="9"/>
            <color indexed="81"/>
            <rFont val="Tahoma"/>
            <charset val="1"/>
          </rPr>
          <t xml:space="preserve">
2008 data</t>
        </r>
      </text>
    </comment>
    <comment ref="AA36" authorId="1">
      <text>
        <r>
          <rPr>
            <b/>
            <sz val="9"/>
            <color indexed="81"/>
            <rFont val="Tahoma"/>
            <family val="2"/>
          </rPr>
          <t>Simon Minett:</t>
        </r>
        <r>
          <rPr>
            <sz val="9"/>
            <color indexed="81"/>
            <rFont val="Tahoma"/>
            <family val="2"/>
          </rPr>
          <t xml:space="preserve">
35% operated by Utilities
Refining sector accounts for 25% for UK capacity
</t>
        </r>
      </text>
    </comment>
  </commentList>
</comments>
</file>

<file path=xl/sharedStrings.xml><?xml version="1.0" encoding="utf-8"?>
<sst xmlns="http://schemas.openxmlformats.org/spreadsheetml/2006/main" count="225" uniqueCount="87">
  <si>
    <t>CHP Data</t>
  </si>
  <si>
    <t>2009 data</t>
  </si>
  <si>
    <t>Eurostat: Data from Roeland Mertens, Eurostat</t>
  </si>
  <si>
    <t>CHP electricity generation, TWh</t>
  </si>
  <si>
    <t>Main activity producers</t>
  </si>
  <si>
    <t>Auto-producers</t>
  </si>
  <si>
    <t>Share of CHP in total electricity generation</t>
  </si>
  <si>
    <t>CHP Electrical capacity, GW</t>
  </si>
  <si>
    <t>CHP Heat capacity, GW</t>
  </si>
  <si>
    <t>CHP Heat production, PJ</t>
  </si>
  <si>
    <t>Total Electic Gen TWh</t>
  </si>
  <si>
    <t>CHP electricity generation, GWh</t>
  </si>
  <si>
    <t>Total electricity generation GWh</t>
  </si>
  <si>
    <t>CHP Heat production, TJ</t>
  </si>
  <si>
    <t>Share Auto-Prods Elec</t>
  </si>
  <si>
    <t>Share Auto-Prods Heat</t>
  </si>
  <si>
    <t>Share used for Fuel Split</t>
  </si>
  <si>
    <t>Fuel for auto-prod</t>
  </si>
  <si>
    <t>EU-27</t>
  </si>
  <si>
    <t xml:space="preserve">: </t>
  </si>
  <si>
    <t>EU15</t>
  </si>
  <si>
    <t>:</t>
  </si>
  <si>
    <t>EEA</t>
  </si>
  <si>
    <t>EU12</t>
  </si>
  <si>
    <t>EU-25</t>
  </si>
  <si>
    <t>EU-15</t>
  </si>
  <si>
    <t>Euro Area</t>
  </si>
  <si>
    <t>Belgium</t>
  </si>
  <si>
    <t>ratio</t>
  </si>
  <si>
    <t>Bulgaria</t>
  </si>
  <si>
    <t>Czech Republic</t>
  </si>
  <si>
    <t>Denmark</t>
  </si>
  <si>
    <t>Germany</t>
  </si>
  <si>
    <t>Estonia</t>
  </si>
  <si>
    <t>Ireland</t>
  </si>
  <si>
    <t>Greece</t>
  </si>
  <si>
    <t>Spain</t>
  </si>
  <si>
    <t>France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</si>
  <si>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</si>
  <si>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</si>
  <si>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</si>
  <si>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</si>
  <si>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</si>
  <si>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</si>
  <si>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</si>
  <si>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</si>
  <si>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</si>
  <si>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</si>
  <si>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</si>
  <si>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Romania</t>
  </si>
  <si>
    <t>Slovenia</t>
  </si>
  <si>
    <t>Slovakia</t>
  </si>
  <si>
    <t>Finland</t>
  </si>
  <si>
    <t>Sweden</t>
  </si>
  <si>
    <t>United Kingdom</t>
  </si>
  <si>
    <t>Norway</t>
  </si>
  <si>
    <t>Croatia</t>
  </si>
  <si>
    <t>Turkey</t>
  </si>
  <si>
    <t>: data not available</t>
  </si>
  <si>
    <t>Source: Eurostat</t>
  </si>
  <si>
    <t>TWh = 1000 GWh</t>
  </si>
  <si>
    <t>GW = 1000 MW</t>
  </si>
  <si>
    <t>PJ = 1000 TJ</t>
  </si>
  <si>
    <r>
      <t>a</t>
    </r>
    <r>
      <rPr>
        <sz val="8"/>
        <rFont val="Arial"/>
        <family val="2"/>
      </rPr>
      <t xml:space="preserve"> - Only gross electrical capacity reported</t>
    </r>
  </si>
  <si>
    <t>EU-12 new</t>
  </si>
  <si>
    <r>
      <t>b</t>
    </r>
    <r>
      <rPr>
        <sz val="8"/>
        <rFont val="Arial"/>
        <family val="2"/>
      </rPr>
      <t xml:space="preserve"> - CHP electrical capacity reported equal to gross capacity</t>
    </r>
  </si>
  <si>
    <r>
      <t>c</t>
    </r>
    <r>
      <rPr>
        <sz val="8"/>
        <rFont val="Arial"/>
        <family val="2"/>
      </rPr>
      <t xml:space="preserve"> - CHP electrical capacity and electricity generation reported equal to gross capacity and generation</t>
    </r>
  </si>
  <si>
    <t>Main</t>
  </si>
  <si>
    <t>Auto</t>
  </si>
  <si>
    <t>Share</t>
  </si>
  <si>
    <t>Total</t>
  </si>
  <si>
    <t>Analysis</t>
  </si>
  <si>
    <t>Country</t>
  </si>
  <si>
    <t>Electricity</t>
  </si>
  <si>
    <t>Heat</t>
  </si>
  <si>
    <t>Fuel</t>
  </si>
  <si>
    <t>Efficiency</t>
  </si>
  <si>
    <t>Fuel by CHP Directive</t>
  </si>
  <si>
    <t>Over Allocation of Fuel</t>
  </si>
  <si>
    <t>Over Allocation Percentage</t>
  </si>
  <si>
    <t>Power / Heat Ratio</t>
  </si>
  <si>
    <t>GWh</t>
  </si>
  <si>
    <t>%</t>
  </si>
  <si>
    <t>EU25</t>
  </si>
  <si>
    <t>Fig 2c</t>
  </si>
  <si>
    <t>Report Fuel Input (GWh)</t>
  </si>
  <si>
    <t>Calculated Fuel Input (GWh)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</si>
</sst>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0.0%"/>
    <numFmt numFmtId="166" formatCode="0.0"/>
    <numFmt numFmtId="167" formatCode="_-* #,##0.0_-;_-* #,##0.0\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name val="Arial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</cellStyleXfs>
  <cellXfs count="98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2" fontId="0" fillId="0" borderId="5" xfId="1" applyNumberFormat="1" applyFont="1" applyBorder="1"/>
    <xf numFmtId="165" fontId="0" fillId="0" borderId="6" xfId="2" applyNumberFormat="1" applyFont="1" applyBorder="1"/>
    <xf numFmtId="2" fontId="0" fillId="0" borderId="6" xfId="1" applyNumberFormat="1" applyFont="1" applyBorder="1"/>
    <xf numFmtId="166" fontId="0" fillId="0" borderId="6" xfId="1" applyNumberFormat="1" applyFont="1" applyBorder="1"/>
    <xf numFmtId="2" fontId="0" fillId="0" borderId="7" xfId="2" applyNumberFormat="1" applyFont="1" applyBorder="1"/>
    <xf numFmtId="165" fontId="0" fillId="0" borderId="7" xfId="2" applyNumberFormat="1" applyFont="1" applyBorder="1"/>
    <xf numFmtId="165" fontId="0" fillId="0" borderId="0" xfId="2" applyNumberFormat="1" applyFont="1"/>
    <xf numFmtId="1" fontId="0" fillId="0" borderId="5" xfId="1" applyNumberFormat="1" applyFont="1" applyBorder="1"/>
    <xf numFmtId="1" fontId="3" fillId="2" borderId="3" xfId="0" applyNumberFormat="1" applyFont="1" applyFill="1" applyBorder="1" applyAlignment="1">
      <alignment horizontal="right"/>
    </xf>
    <xf numFmtId="1" fontId="3" fillId="2" borderId="4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/>
    <xf numFmtId="165" fontId="3" fillId="0" borderId="8" xfId="2" applyNumberFormat="1" applyFont="1" applyFill="1" applyBorder="1" applyAlignment="1">
      <alignment horizontal="right"/>
    </xf>
    <xf numFmtId="2" fontId="3" fillId="2" borderId="9" xfId="0" applyNumberFormat="1" applyFont="1" applyFill="1" applyBorder="1" applyAlignment="1">
      <alignment horizontal="right"/>
    </xf>
    <xf numFmtId="1" fontId="3" fillId="2" borderId="8" xfId="0" applyNumberFormat="1" applyFont="1" applyFill="1" applyBorder="1" applyAlignment="1">
      <alignment horizontal="right"/>
    </xf>
    <xf numFmtId="1" fontId="3" fillId="2" borderId="1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vertical="top"/>
    </xf>
    <xf numFmtId="0" fontId="3" fillId="3" borderId="1" xfId="0" applyFont="1" applyFill="1" applyBorder="1"/>
    <xf numFmtId="2" fontId="0" fillId="3" borderId="7" xfId="1" applyNumberFormat="1" applyFont="1" applyFill="1" applyBorder="1"/>
    <xf numFmtId="167" fontId="0" fillId="3" borderId="7" xfId="1" applyNumberFormat="1" applyFont="1" applyFill="1" applyBorder="1"/>
    <xf numFmtId="165" fontId="0" fillId="3" borderId="7" xfId="1" applyNumberFormat="1" applyFont="1" applyFill="1" applyBorder="1"/>
    <xf numFmtId="2" fontId="0" fillId="3" borderId="11" xfId="1" applyNumberFormat="1" applyFont="1" applyFill="1" applyBorder="1"/>
    <xf numFmtId="167" fontId="0" fillId="3" borderId="11" xfId="1" applyNumberFormat="1" applyFont="1" applyFill="1" applyBorder="1"/>
    <xf numFmtId="165" fontId="0" fillId="3" borderId="11" xfId="2" applyNumberFormat="1" applyFont="1" applyFill="1" applyBorder="1"/>
    <xf numFmtId="2" fontId="0" fillId="3" borderId="7" xfId="2" applyNumberFormat="1" applyFont="1" applyFill="1" applyBorder="1"/>
    <xf numFmtId="165" fontId="0" fillId="3" borderId="7" xfId="2" applyNumberFormat="1" applyFont="1" applyFill="1" applyBorder="1"/>
    <xf numFmtId="1" fontId="0" fillId="2" borderId="7" xfId="1" applyNumberFormat="1" applyFont="1" applyFill="1" applyBorder="1"/>
    <xf numFmtId="1" fontId="3" fillId="2" borderId="9" xfId="0" applyNumberFormat="1" applyFont="1" applyFill="1" applyBorder="1" applyAlignment="1">
      <alignment horizontal="right"/>
    </xf>
    <xf numFmtId="165" fontId="3" fillId="2" borderId="8" xfId="2" applyNumberFormat="1" applyFont="1" applyFill="1" applyBorder="1" applyAlignment="1">
      <alignment horizontal="right"/>
    </xf>
    <xf numFmtId="0" fontId="3" fillId="3" borderId="12" xfId="0" applyFont="1" applyFill="1" applyBorder="1"/>
    <xf numFmtId="165" fontId="0" fillId="3" borderId="11" xfId="1" applyNumberFormat="1" applyFont="1" applyFill="1" applyBorder="1"/>
    <xf numFmtId="2" fontId="0" fillId="3" borderId="11" xfId="2" applyNumberFormat="1" applyFont="1" applyFill="1" applyBorder="1"/>
    <xf numFmtId="1" fontId="3" fillId="2" borderId="0" xfId="0" applyNumberFormat="1" applyFont="1" applyFill="1" applyBorder="1" applyAlignment="1">
      <alignment horizontal="right"/>
    </xf>
    <xf numFmtId="1" fontId="3" fillId="2" borderId="11" xfId="0" applyNumberFormat="1" applyFont="1" applyFill="1" applyBorder="1" applyAlignment="1">
      <alignment horizontal="right"/>
    </xf>
    <xf numFmtId="165" fontId="3" fillId="2" borderId="0" xfId="2" applyNumberFormat="1" applyFont="1" applyFill="1" applyBorder="1" applyAlignment="1">
      <alignment horizontal="right"/>
    </xf>
    <xf numFmtId="2" fontId="3" fillId="2" borderId="7" xfId="0" applyNumberFormat="1" applyFont="1" applyFill="1" applyBorder="1" applyAlignment="1">
      <alignment horizontal="right"/>
    </xf>
    <xf numFmtId="0" fontId="3" fillId="0" borderId="12" xfId="0" applyFont="1" applyBorder="1"/>
    <xf numFmtId="2" fontId="0" fillId="0" borderId="7" xfId="1" applyNumberFormat="1" applyFont="1" applyBorder="1"/>
    <xf numFmtId="165" fontId="0" fillId="0" borderId="11" xfId="2" applyNumberFormat="1" applyFont="1" applyBorder="1"/>
    <xf numFmtId="2" fontId="0" fillId="0" borderId="11" xfId="1" applyNumberFormat="1" applyFont="1" applyBorder="1"/>
    <xf numFmtId="166" fontId="0" fillId="0" borderId="11" xfId="1" applyNumberFormat="1" applyFont="1" applyBorder="1"/>
    <xf numFmtId="166" fontId="0" fillId="0" borderId="0" xfId="0" applyNumberFormat="1"/>
    <xf numFmtId="1" fontId="0" fillId="0" borderId="7" xfId="1" applyNumberFormat="1" applyFont="1" applyBorder="1"/>
    <xf numFmtId="0" fontId="3" fillId="0" borderId="0" xfId="0" applyNumberFormat="1" applyFont="1" applyFill="1" applyBorder="1" applyAlignment="1"/>
    <xf numFmtId="165" fontId="3" fillId="0" borderId="0" xfId="2" applyNumberFormat="1" applyFont="1" applyFill="1" applyBorder="1" applyAlignment="1">
      <alignment horizontal="right"/>
    </xf>
    <xf numFmtId="165" fontId="6" fillId="0" borderId="0" xfId="2" applyNumberFormat="1" applyFont="1" applyFill="1" applyBorder="1" applyAlignment="1">
      <alignment horizontal="right" vertical="top"/>
    </xf>
    <xf numFmtId="165" fontId="2" fillId="0" borderId="0" xfId="2" applyNumberFormat="1" applyFont="1" applyFill="1" applyBorder="1" applyAlignment="1"/>
    <xf numFmtId="1" fontId="0" fillId="0" borderId="0" xfId="0" applyNumberFormat="1"/>
    <xf numFmtId="165" fontId="0" fillId="0" borderId="0" xfId="0" applyNumberFormat="1"/>
    <xf numFmtId="0" fontId="3" fillId="0" borderId="7" xfId="0" applyFont="1" applyBorder="1"/>
    <xf numFmtId="0" fontId="3" fillId="0" borderId="9" xfId="0" applyFont="1" applyBorder="1"/>
    <xf numFmtId="165" fontId="0" fillId="0" borderId="9" xfId="2" applyNumberFormat="1" applyFont="1" applyBorder="1"/>
    <xf numFmtId="0" fontId="3" fillId="0" borderId="2" xfId="0" applyFont="1" applyBorder="1"/>
    <xf numFmtId="2" fontId="0" fillId="0" borderId="9" xfId="1" applyNumberFormat="1" applyFont="1" applyBorder="1"/>
    <xf numFmtId="165" fontId="0" fillId="0" borderId="10" xfId="2" applyNumberFormat="1" applyFont="1" applyBorder="1"/>
    <xf numFmtId="2" fontId="0" fillId="0" borderId="10" xfId="1" applyNumberFormat="1" applyFont="1" applyBorder="1"/>
    <xf numFmtId="166" fontId="0" fillId="0" borderId="10" xfId="1" applyNumberFormat="1" applyFont="1" applyBorder="1"/>
    <xf numFmtId="1" fontId="0" fillId="0" borderId="9" xfId="1" applyNumberFormat="1" applyFont="1" applyBorder="1"/>
    <xf numFmtId="2" fontId="3" fillId="0" borderId="2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4" xfId="0" applyNumberFormat="1" applyFont="1" applyFill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166" fontId="3" fillId="0" borderId="2" xfId="0" applyNumberFormat="1" applyFont="1" applyFill="1" applyBorder="1" applyAlignment="1">
      <alignment horizontal="right"/>
    </xf>
    <xf numFmtId="2" fontId="3" fillId="0" borderId="7" xfId="0" applyNumberFormat="1" applyFont="1" applyFill="1" applyBorder="1" applyAlignment="1">
      <alignment horizontal="right"/>
    </xf>
    <xf numFmtId="1" fontId="3" fillId="2" borderId="13" xfId="0" applyNumberFormat="1" applyFont="1" applyFill="1" applyBorder="1" applyAlignment="1">
      <alignment horizontal="right"/>
    </xf>
    <xf numFmtId="0" fontId="4" fillId="0" borderId="14" xfId="0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4" borderId="0" xfId="0" applyFont="1" applyFill="1" applyBorder="1" applyAlignment="1">
      <alignment horizontal="left" vertical="top"/>
    </xf>
    <xf numFmtId="0" fontId="4" fillId="0" borderId="0" xfId="0" applyFont="1" applyFill="1" applyBorder="1"/>
    <xf numFmtId="0" fontId="7" fillId="0" borderId="0" xfId="0" applyFont="1"/>
    <xf numFmtId="167" fontId="0" fillId="0" borderId="0" xfId="0" applyNumberFormat="1"/>
    <xf numFmtId="0" fontId="8" fillId="0" borderId="0" xfId="0" applyFont="1"/>
    <xf numFmtId="0" fontId="3" fillId="0" borderId="0" xfId="0" applyFont="1" applyFill="1" applyBorder="1"/>
    <xf numFmtId="0" fontId="2" fillId="0" borderId="0" xfId="0" applyFont="1" applyAlignment="1">
      <alignment wrapText="1"/>
    </xf>
    <xf numFmtId="165" fontId="2" fillId="0" borderId="0" xfId="2" applyNumberFormat="1" applyFont="1" applyFill="1" applyBorder="1" applyAlignment="1">
      <alignment wrapText="1"/>
    </xf>
    <xf numFmtId="0" fontId="3" fillId="0" borderId="0" xfId="0" applyFont="1" applyBorder="1"/>
    <xf numFmtId="0" fontId="0" fillId="0" borderId="0" xfId="0" applyFill="1"/>
    <xf numFmtId="165" fontId="0" fillId="0" borderId="0" xfId="0" applyNumberFormat="1" applyFill="1"/>
    <xf numFmtId="165" fontId="9" fillId="0" borderId="0" xfId="2" applyNumberFormat="1" applyFont="1" applyFill="1" applyBorder="1"/>
    <xf numFmtId="165" fontId="9" fillId="2" borderId="0" xfId="2" applyNumberFormat="1" applyFont="1" applyFill="1"/>
    <xf numFmtId="165" fontId="3" fillId="0" borderId="0" xfId="0" applyNumberFormat="1" applyFont="1" applyBorder="1"/>
    <xf numFmtId="10" fontId="0" fillId="0" borderId="0" xfId="2" applyNumberFormat="1" applyFont="1"/>
    <xf numFmtId="9" fontId="0" fillId="0" borderId="0" xfId="2" applyFont="1"/>
    <xf numFmtId="2" fontId="0" fillId="0" borderId="0" xfId="0" applyNumberFormat="1"/>
    <xf numFmtId="165" fontId="0" fillId="0" borderId="0" xfId="2" applyNumberFormat="1" applyFont="1" applyFill="1"/>
  </cellXfs>
  <cellStyles count="4">
    <cellStyle name="Comma" xfId="1" builtinId="3"/>
    <cellStyle name="Normal" xfId="0" builtinId="0"/>
    <cellStyle name="Percent" xfId="2" builtinId="5"/>
    <cellStyle name="Standaard_blad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Fig 1'!$Q$82</c:f>
              <c:strCache>
                <c:ptCount val="1"/>
                <c:pt idx="0">
                  <c:v>Report Fuel Input (GWh)</c:v>
                </c:pt>
              </c:strCache>
            </c:strRef>
          </c:tx>
          <c:invertIfNegative val="0"/>
          <c:cat>
            <c:strRef>
              <c:f>'Data Fig 1'!$P$83:$P$109</c:f>
              <c:strCache>
                <c:ptCount val="27"/>
                <c:pt idx="0">
                  <c:v>Germany</c:v>
                </c:pt>
                <c:pt idx="1">
                  <c:v>Netherlands</c:v>
                </c:pt>
                <c:pt idx="2">
                  <c:v>Poland</c:v>
                </c:pt>
                <c:pt idx="3">
                  <c:v>Finland</c:v>
                </c:pt>
                <c:pt idx="4">
                  <c:v>Italy</c:v>
                </c:pt>
                <c:pt idx="5">
                  <c:v>France</c:v>
                </c:pt>
                <c:pt idx="6">
                  <c:v>Spain</c:v>
                </c:pt>
                <c:pt idx="7">
                  <c:v>United Kingdom</c:v>
                </c:pt>
                <c:pt idx="8">
                  <c:v>Sweden</c:v>
                </c:pt>
                <c:pt idx="9">
                  <c:v>Denmark</c:v>
                </c:pt>
                <c:pt idx="10">
                  <c:v>Czech Republic</c:v>
                </c:pt>
                <c:pt idx="11">
                  <c:v>Austria</c:v>
                </c:pt>
                <c:pt idx="12">
                  <c:v>Belgium</c:v>
                </c:pt>
                <c:pt idx="13">
                  <c:v>Romania</c:v>
                </c:pt>
                <c:pt idx="14">
                  <c:v>Portugal</c:v>
                </c:pt>
                <c:pt idx="15">
                  <c:v>Hungary</c:v>
                </c:pt>
                <c:pt idx="16">
                  <c:v>Bulgaria</c:v>
                </c:pt>
                <c:pt idx="17">
                  <c:v>Slovakia</c:v>
                </c:pt>
                <c:pt idx="18">
                  <c:v>Lithuania</c:v>
                </c:pt>
                <c:pt idx="19">
                  <c:v>Greece</c:v>
                </c:pt>
                <c:pt idx="20">
                  <c:v>Ireland</c:v>
                </c:pt>
                <c:pt idx="21">
                  <c:v>Slovenia</c:v>
                </c:pt>
                <c:pt idx="22">
                  <c:v>Estonia</c:v>
                </c:pt>
                <c:pt idx="23">
                  <c:v>Latvia</c:v>
                </c:pt>
                <c:pt idx="24">
                  <c:v>Luxembourg</c:v>
                </c:pt>
                <c:pt idx="25">
                  <c:v>Cyprus</c:v>
                </c:pt>
                <c:pt idx="26">
                  <c:v>Malta</c:v>
                </c:pt>
              </c:strCache>
            </c:strRef>
          </c:cat>
          <c:val>
            <c:numRef>
              <c:f>'Data Fig 1'!$Q$83:$Q$109</c:f>
              <c:numCache>
                <c:formatCode>0</c:formatCode>
                <c:ptCount val="27"/>
                <c:pt idx="0">
                  <c:v>332621.59999999998</c:v>
                </c:pt>
                <c:pt idx="1">
                  <c:v>183595.59999999998</c:v>
                </c:pt>
                <c:pt idx="2">
                  <c:v>417826.80000000005</c:v>
                </c:pt>
                <c:pt idx="3">
                  <c:v>135369.9</c:v>
                </c:pt>
                <c:pt idx="4">
                  <c:v>260490.80000000005</c:v>
                </c:pt>
                <c:pt idx="5">
                  <c:v>102850.1</c:v>
                </c:pt>
                <c:pt idx="6">
                  <c:v>109248.8</c:v>
                </c:pt>
                <c:pt idx="7">
                  <c:v>85814.6</c:v>
                </c:pt>
                <c:pt idx="8">
                  <c:v>68419.000000000015</c:v>
                </c:pt>
                <c:pt idx="9">
                  <c:v>83183.100000000006</c:v>
                </c:pt>
                <c:pt idx="10">
                  <c:v>110301.4</c:v>
                </c:pt>
                <c:pt idx="11">
                  <c:v>68086.600000000006</c:v>
                </c:pt>
                <c:pt idx="12">
                  <c:v>40719</c:v>
                </c:pt>
                <c:pt idx="13">
                  <c:v>60053.600000000013</c:v>
                </c:pt>
                <c:pt idx="14">
                  <c:v>28558.7</c:v>
                </c:pt>
                <c:pt idx="15">
                  <c:v>27533.800000000003</c:v>
                </c:pt>
                <c:pt idx="16">
                  <c:v>30220.7</c:v>
                </c:pt>
                <c:pt idx="17">
                  <c:v>64707.199999999997</c:v>
                </c:pt>
                <c:pt idx="18">
                  <c:v>9861.2000000000025</c:v>
                </c:pt>
                <c:pt idx="19">
                  <c:v>28808.000000000004</c:v>
                </c:pt>
                <c:pt idx="20">
                  <c:v>5955.5000000000009</c:v>
                </c:pt>
                <c:pt idx="21">
                  <c:v>17949.599999999999</c:v>
                </c:pt>
                <c:pt idx="22">
                  <c:v>4986.0000000000009</c:v>
                </c:pt>
                <c:pt idx="23">
                  <c:v>5456.9</c:v>
                </c:pt>
                <c:pt idx="24">
                  <c:v>1468.1000000000001</c:v>
                </c:pt>
                <c:pt idx="25">
                  <c:v>83.100000000000009</c:v>
                </c:pt>
                <c:pt idx="26">
                  <c:v>0</c:v>
                </c:pt>
              </c:numCache>
            </c:numRef>
          </c:val>
        </c:ser>
        <c:ser>
          <c:idx val="1"/>
          <c:order val="1"/>
          <c:tx>
            <c:strRef>
              <c:f>'Data Fig 1'!$R$82</c:f>
              <c:strCache>
                <c:ptCount val="1"/>
                <c:pt idx="0">
                  <c:v>Calculated Fuel Input (GWh)</c:v>
                </c:pt>
              </c:strCache>
            </c:strRef>
          </c:tx>
          <c:invertIfNegative val="0"/>
          <c:cat>
            <c:strRef>
              <c:f>'Data Fig 1'!$P$83:$P$109</c:f>
              <c:strCache>
                <c:ptCount val="27"/>
                <c:pt idx="0">
                  <c:v>Germany</c:v>
                </c:pt>
                <c:pt idx="1">
                  <c:v>Netherlands</c:v>
                </c:pt>
                <c:pt idx="2">
                  <c:v>Poland</c:v>
                </c:pt>
                <c:pt idx="3">
                  <c:v>Finland</c:v>
                </c:pt>
                <c:pt idx="4">
                  <c:v>Italy</c:v>
                </c:pt>
                <c:pt idx="5">
                  <c:v>France</c:v>
                </c:pt>
                <c:pt idx="6">
                  <c:v>Spain</c:v>
                </c:pt>
                <c:pt idx="7">
                  <c:v>United Kingdom</c:v>
                </c:pt>
                <c:pt idx="8">
                  <c:v>Sweden</c:v>
                </c:pt>
                <c:pt idx="9">
                  <c:v>Denmark</c:v>
                </c:pt>
                <c:pt idx="10">
                  <c:v>Czech Republic</c:v>
                </c:pt>
                <c:pt idx="11">
                  <c:v>Austria</c:v>
                </c:pt>
                <c:pt idx="12">
                  <c:v>Belgium</c:v>
                </c:pt>
                <c:pt idx="13">
                  <c:v>Romania</c:v>
                </c:pt>
                <c:pt idx="14">
                  <c:v>Portugal</c:v>
                </c:pt>
                <c:pt idx="15">
                  <c:v>Hungary</c:v>
                </c:pt>
                <c:pt idx="16">
                  <c:v>Bulgaria</c:v>
                </c:pt>
                <c:pt idx="17">
                  <c:v>Slovakia</c:v>
                </c:pt>
                <c:pt idx="18">
                  <c:v>Lithuania</c:v>
                </c:pt>
                <c:pt idx="19">
                  <c:v>Greece</c:v>
                </c:pt>
                <c:pt idx="20">
                  <c:v>Ireland</c:v>
                </c:pt>
                <c:pt idx="21">
                  <c:v>Slovenia</c:v>
                </c:pt>
                <c:pt idx="22">
                  <c:v>Estonia</c:v>
                </c:pt>
                <c:pt idx="23">
                  <c:v>Latvia</c:v>
                </c:pt>
                <c:pt idx="24">
                  <c:v>Luxembourg</c:v>
                </c:pt>
                <c:pt idx="25">
                  <c:v>Cyprus</c:v>
                </c:pt>
                <c:pt idx="26">
                  <c:v>Malta</c:v>
                </c:pt>
              </c:strCache>
            </c:strRef>
          </c:cat>
          <c:val>
            <c:numRef>
              <c:f>'Data Fig 1'!$R$83:$R$109</c:f>
              <c:numCache>
                <c:formatCode>0</c:formatCode>
                <c:ptCount val="27"/>
                <c:pt idx="0">
                  <c:v>332621.59999999998</c:v>
                </c:pt>
                <c:pt idx="1">
                  <c:v>131117.49679999999</c:v>
                </c:pt>
                <c:pt idx="2">
                  <c:v>130474.84080000001</c:v>
                </c:pt>
                <c:pt idx="3">
                  <c:v>123383.5616</c:v>
                </c:pt>
                <c:pt idx="4">
                  <c:v>106894.39466666667</c:v>
                </c:pt>
                <c:pt idx="5">
                  <c:v>102850.1</c:v>
                </c:pt>
                <c:pt idx="6">
                  <c:v>93262.672266666661</c:v>
                </c:pt>
                <c:pt idx="7">
                  <c:v>85814.6</c:v>
                </c:pt>
                <c:pt idx="8">
                  <c:v>68419.000000000015</c:v>
                </c:pt>
                <c:pt idx="9">
                  <c:v>62657.476800000004</c:v>
                </c:pt>
                <c:pt idx="10">
                  <c:v>59138.36746666667</c:v>
                </c:pt>
                <c:pt idx="11">
                  <c:v>48601.213066666656</c:v>
                </c:pt>
                <c:pt idx="12">
                  <c:v>40719</c:v>
                </c:pt>
                <c:pt idx="13">
                  <c:v>32909.372266666665</c:v>
                </c:pt>
                <c:pt idx="14">
                  <c:v>28558.7</c:v>
                </c:pt>
                <c:pt idx="15">
                  <c:v>25593.336800000001</c:v>
                </c:pt>
                <c:pt idx="16">
                  <c:v>21849.391200000002</c:v>
                </c:pt>
                <c:pt idx="17">
                  <c:v>13598.627200000001</c:v>
                </c:pt>
                <c:pt idx="18">
                  <c:v>8964.8594666666668</c:v>
                </c:pt>
                <c:pt idx="19">
                  <c:v>6443.5781333333334</c:v>
                </c:pt>
                <c:pt idx="20">
                  <c:v>5955.5000000000009</c:v>
                </c:pt>
                <c:pt idx="21">
                  <c:v>5526.2586666666657</c:v>
                </c:pt>
                <c:pt idx="22">
                  <c:v>4986.0000000000009</c:v>
                </c:pt>
                <c:pt idx="23">
                  <c:v>3293.7759999999998</c:v>
                </c:pt>
                <c:pt idx="24">
                  <c:v>1468.1000000000001</c:v>
                </c:pt>
                <c:pt idx="25">
                  <c:v>59.410133333333334</c:v>
                </c:pt>
                <c:pt idx="2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680768"/>
        <c:axId val="245682560"/>
      </c:barChart>
      <c:catAx>
        <c:axId val="245680768"/>
        <c:scaling>
          <c:orientation val="minMax"/>
        </c:scaling>
        <c:delete val="0"/>
        <c:axPos val="b"/>
        <c:majorTickMark val="out"/>
        <c:minorTickMark val="none"/>
        <c:tickLblPos val="nextTo"/>
        <c:crossAx val="245682560"/>
        <c:crosses val="autoZero"/>
        <c:auto val="1"/>
        <c:lblAlgn val="ctr"/>
        <c:lblOffset val="100"/>
        <c:noMultiLvlLbl val="0"/>
      </c:catAx>
      <c:valAx>
        <c:axId val="2456825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Fuel Input to CHP (GWh)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245680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604481014171979"/>
          <c:y val="0.12392322357583345"/>
          <c:w val="0.17941586311821853"/>
          <c:h val="7.5527029706910304E-2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tabSelected="1" zoomScale="78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2981" cy="604471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59999389629810485"/>
  </sheetPr>
  <dimension ref="A2:AB111"/>
  <sheetViews>
    <sheetView topLeftCell="C72" workbookViewId="0">
      <selection activeCell="O97" sqref="O97"/>
    </sheetView>
  </sheetViews>
  <sheetFormatPr defaultRowHeight="15" x14ac:dyDescent="0.25"/>
  <cols>
    <col min="1" max="1" width="13.42578125" customWidth="1"/>
    <col min="2" max="2" width="24.42578125" customWidth="1"/>
    <col min="3" max="3" width="10.5703125" customWidth="1"/>
    <col min="6" max="6" width="10.140625" customWidth="1"/>
    <col min="8" max="8" width="10.28515625" customWidth="1"/>
    <col min="10" max="10" width="9" customWidth="1"/>
    <col min="11" max="11" width="10.42578125" bestFit="1" customWidth="1"/>
    <col min="12" max="12" width="10.5703125" bestFit="1" customWidth="1"/>
    <col min="13" max="13" width="11.140625" customWidth="1"/>
    <col min="16" max="16" width="11" customWidth="1"/>
    <col min="17" max="17" width="10.140625" customWidth="1"/>
    <col min="19" max="19" width="10" customWidth="1"/>
    <col min="23" max="23" width="19.85546875" customWidth="1"/>
    <col min="257" max="257" width="13.42578125" customWidth="1"/>
    <col min="258" max="258" width="24.42578125" customWidth="1"/>
    <col min="259" max="259" width="10.5703125" customWidth="1"/>
    <col min="262" max="262" width="10.140625" customWidth="1"/>
    <col min="264" max="264" width="10.28515625" customWidth="1"/>
    <col min="266" max="266" width="9" customWidth="1"/>
    <col min="267" max="267" width="10.42578125" bestFit="1" customWidth="1"/>
    <col min="269" max="269" width="11.140625" customWidth="1"/>
    <col min="272" max="272" width="11" customWidth="1"/>
    <col min="273" max="273" width="10.140625" customWidth="1"/>
    <col min="275" max="275" width="10" customWidth="1"/>
    <col min="279" max="279" width="19.85546875" customWidth="1"/>
    <col min="513" max="513" width="13.42578125" customWidth="1"/>
    <col min="514" max="514" width="24.42578125" customWidth="1"/>
    <col min="515" max="515" width="10.5703125" customWidth="1"/>
    <col min="518" max="518" width="10.140625" customWidth="1"/>
    <col min="520" max="520" width="10.28515625" customWidth="1"/>
    <col min="522" max="522" width="9" customWidth="1"/>
    <col min="523" max="523" width="10.42578125" bestFit="1" customWidth="1"/>
    <col min="525" max="525" width="11.140625" customWidth="1"/>
    <col min="528" max="528" width="11" customWidth="1"/>
    <col min="529" max="529" width="10.140625" customWidth="1"/>
    <col min="531" max="531" width="10" customWidth="1"/>
    <col min="535" max="535" width="19.85546875" customWidth="1"/>
    <col min="769" max="769" width="13.42578125" customWidth="1"/>
    <col min="770" max="770" width="24.42578125" customWidth="1"/>
    <col min="771" max="771" width="10.5703125" customWidth="1"/>
    <col min="774" max="774" width="10.140625" customWidth="1"/>
    <col min="776" max="776" width="10.28515625" customWidth="1"/>
    <col min="778" max="778" width="9" customWidth="1"/>
    <col min="779" max="779" width="10.42578125" bestFit="1" customWidth="1"/>
    <col min="781" max="781" width="11.140625" customWidth="1"/>
    <col min="784" max="784" width="11" customWidth="1"/>
    <col min="785" max="785" width="10.140625" customWidth="1"/>
    <col min="787" max="787" width="10" customWidth="1"/>
    <col min="791" max="791" width="19.85546875" customWidth="1"/>
    <col min="1025" max="1025" width="13.42578125" customWidth="1"/>
    <col min="1026" max="1026" width="24.42578125" customWidth="1"/>
    <col min="1027" max="1027" width="10.5703125" customWidth="1"/>
    <col min="1030" max="1030" width="10.140625" customWidth="1"/>
    <col min="1032" max="1032" width="10.28515625" customWidth="1"/>
    <col min="1034" max="1034" width="9" customWidth="1"/>
    <col min="1035" max="1035" width="10.42578125" bestFit="1" customWidth="1"/>
    <col min="1037" max="1037" width="11.140625" customWidth="1"/>
    <col min="1040" max="1040" width="11" customWidth="1"/>
    <col min="1041" max="1041" width="10.140625" customWidth="1"/>
    <col min="1043" max="1043" width="10" customWidth="1"/>
    <col min="1047" max="1047" width="19.85546875" customWidth="1"/>
    <col min="1281" max="1281" width="13.42578125" customWidth="1"/>
    <col min="1282" max="1282" width="24.42578125" customWidth="1"/>
    <col min="1283" max="1283" width="10.5703125" customWidth="1"/>
    <col min="1286" max="1286" width="10.140625" customWidth="1"/>
    <col min="1288" max="1288" width="10.28515625" customWidth="1"/>
    <col min="1290" max="1290" width="9" customWidth="1"/>
    <col min="1291" max="1291" width="10.42578125" bestFit="1" customWidth="1"/>
    <col min="1293" max="1293" width="11.140625" customWidth="1"/>
    <col min="1296" max="1296" width="11" customWidth="1"/>
    <col min="1297" max="1297" width="10.140625" customWidth="1"/>
    <col min="1299" max="1299" width="10" customWidth="1"/>
    <col min="1303" max="1303" width="19.85546875" customWidth="1"/>
    <col min="1537" max="1537" width="13.42578125" customWidth="1"/>
    <col min="1538" max="1538" width="24.42578125" customWidth="1"/>
    <col min="1539" max="1539" width="10.5703125" customWidth="1"/>
    <col min="1542" max="1542" width="10.140625" customWidth="1"/>
    <col min="1544" max="1544" width="10.28515625" customWidth="1"/>
    <col min="1546" max="1546" width="9" customWidth="1"/>
    <col min="1547" max="1547" width="10.42578125" bestFit="1" customWidth="1"/>
    <col min="1549" max="1549" width="11.140625" customWidth="1"/>
    <col min="1552" max="1552" width="11" customWidth="1"/>
    <col min="1553" max="1553" width="10.140625" customWidth="1"/>
    <col min="1555" max="1555" width="10" customWidth="1"/>
    <col min="1559" max="1559" width="19.85546875" customWidth="1"/>
    <col min="1793" max="1793" width="13.42578125" customWidth="1"/>
    <col min="1794" max="1794" width="24.42578125" customWidth="1"/>
    <col min="1795" max="1795" width="10.5703125" customWidth="1"/>
    <col min="1798" max="1798" width="10.140625" customWidth="1"/>
    <col min="1800" max="1800" width="10.28515625" customWidth="1"/>
    <col min="1802" max="1802" width="9" customWidth="1"/>
    <col min="1803" max="1803" width="10.42578125" bestFit="1" customWidth="1"/>
    <col min="1805" max="1805" width="11.140625" customWidth="1"/>
    <col min="1808" max="1808" width="11" customWidth="1"/>
    <col min="1809" max="1809" width="10.140625" customWidth="1"/>
    <col min="1811" max="1811" width="10" customWidth="1"/>
    <col min="1815" max="1815" width="19.85546875" customWidth="1"/>
    <col min="2049" max="2049" width="13.42578125" customWidth="1"/>
    <col min="2050" max="2050" width="24.42578125" customWidth="1"/>
    <col min="2051" max="2051" width="10.5703125" customWidth="1"/>
    <col min="2054" max="2054" width="10.140625" customWidth="1"/>
    <col min="2056" max="2056" width="10.28515625" customWidth="1"/>
    <col min="2058" max="2058" width="9" customWidth="1"/>
    <col min="2059" max="2059" width="10.42578125" bestFit="1" customWidth="1"/>
    <col min="2061" max="2061" width="11.140625" customWidth="1"/>
    <col min="2064" max="2064" width="11" customWidth="1"/>
    <col min="2065" max="2065" width="10.140625" customWidth="1"/>
    <col min="2067" max="2067" width="10" customWidth="1"/>
    <col min="2071" max="2071" width="19.85546875" customWidth="1"/>
    <col min="2305" max="2305" width="13.42578125" customWidth="1"/>
    <col min="2306" max="2306" width="24.42578125" customWidth="1"/>
    <col min="2307" max="2307" width="10.5703125" customWidth="1"/>
    <col min="2310" max="2310" width="10.140625" customWidth="1"/>
    <col min="2312" max="2312" width="10.28515625" customWidth="1"/>
    <col min="2314" max="2314" width="9" customWidth="1"/>
    <col min="2315" max="2315" width="10.42578125" bestFit="1" customWidth="1"/>
    <col min="2317" max="2317" width="11.140625" customWidth="1"/>
    <col min="2320" max="2320" width="11" customWidth="1"/>
    <col min="2321" max="2321" width="10.140625" customWidth="1"/>
    <col min="2323" max="2323" width="10" customWidth="1"/>
    <col min="2327" max="2327" width="19.85546875" customWidth="1"/>
    <col min="2561" max="2561" width="13.42578125" customWidth="1"/>
    <col min="2562" max="2562" width="24.42578125" customWidth="1"/>
    <col min="2563" max="2563" width="10.5703125" customWidth="1"/>
    <col min="2566" max="2566" width="10.140625" customWidth="1"/>
    <col min="2568" max="2568" width="10.28515625" customWidth="1"/>
    <col min="2570" max="2570" width="9" customWidth="1"/>
    <col min="2571" max="2571" width="10.42578125" bestFit="1" customWidth="1"/>
    <col min="2573" max="2573" width="11.140625" customWidth="1"/>
    <col min="2576" max="2576" width="11" customWidth="1"/>
    <col min="2577" max="2577" width="10.140625" customWidth="1"/>
    <col min="2579" max="2579" width="10" customWidth="1"/>
    <col min="2583" max="2583" width="19.85546875" customWidth="1"/>
    <col min="2817" max="2817" width="13.42578125" customWidth="1"/>
    <col min="2818" max="2818" width="24.42578125" customWidth="1"/>
    <col min="2819" max="2819" width="10.5703125" customWidth="1"/>
    <col min="2822" max="2822" width="10.140625" customWidth="1"/>
    <col min="2824" max="2824" width="10.28515625" customWidth="1"/>
    <col min="2826" max="2826" width="9" customWidth="1"/>
    <col min="2827" max="2827" width="10.42578125" bestFit="1" customWidth="1"/>
    <col min="2829" max="2829" width="11.140625" customWidth="1"/>
    <col min="2832" max="2832" width="11" customWidth="1"/>
    <col min="2833" max="2833" width="10.140625" customWidth="1"/>
    <col min="2835" max="2835" width="10" customWidth="1"/>
    <col min="2839" max="2839" width="19.85546875" customWidth="1"/>
    <col min="3073" max="3073" width="13.42578125" customWidth="1"/>
    <col min="3074" max="3074" width="24.42578125" customWidth="1"/>
    <col min="3075" max="3075" width="10.5703125" customWidth="1"/>
    <col min="3078" max="3078" width="10.140625" customWidth="1"/>
    <col min="3080" max="3080" width="10.28515625" customWidth="1"/>
    <col min="3082" max="3082" width="9" customWidth="1"/>
    <col min="3083" max="3083" width="10.42578125" bestFit="1" customWidth="1"/>
    <col min="3085" max="3085" width="11.140625" customWidth="1"/>
    <col min="3088" max="3088" width="11" customWidth="1"/>
    <col min="3089" max="3089" width="10.140625" customWidth="1"/>
    <col min="3091" max="3091" width="10" customWidth="1"/>
    <col min="3095" max="3095" width="19.85546875" customWidth="1"/>
    <col min="3329" max="3329" width="13.42578125" customWidth="1"/>
    <col min="3330" max="3330" width="24.42578125" customWidth="1"/>
    <col min="3331" max="3331" width="10.5703125" customWidth="1"/>
    <col min="3334" max="3334" width="10.140625" customWidth="1"/>
    <col min="3336" max="3336" width="10.28515625" customWidth="1"/>
    <col min="3338" max="3338" width="9" customWidth="1"/>
    <col min="3339" max="3339" width="10.42578125" bestFit="1" customWidth="1"/>
    <col min="3341" max="3341" width="11.140625" customWidth="1"/>
    <col min="3344" max="3344" width="11" customWidth="1"/>
    <col min="3345" max="3345" width="10.140625" customWidth="1"/>
    <col min="3347" max="3347" width="10" customWidth="1"/>
    <col min="3351" max="3351" width="19.85546875" customWidth="1"/>
    <col min="3585" max="3585" width="13.42578125" customWidth="1"/>
    <col min="3586" max="3586" width="24.42578125" customWidth="1"/>
    <col min="3587" max="3587" width="10.5703125" customWidth="1"/>
    <col min="3590" max="3590" width="10.140625" customWidth="1"/>
    <col min="3592" max="3592" width="10.28515625" customWidth="1"/>
    <col min="3594" max="3594" width="9" customWidth="1"/>
    <col min="3595" max="3595" width="10.42578125" bestFit="1" customWidth="1"/>
    <col min="3597" max="3597" width="11.140625" customWidth="1"/>
    <col min="3600" max="3600" width="11" customWidth="1"/>
    <col min="3601" max="3601" width="10.140625" customWidth="1"/>
    <col min="3603" max="3603" width="10" customWidth="1"/>
    <col min="3607" max="3607" width="19.85546875" customWidth="1"/>
    <col min="3841" max="3841" width="13.42578125" customWidth="1"/>
    <col min="3842" max="3842" width="24.42578125" customWidth="1"/>
    <col min="3843" max="3843" width="10.5703125" customWidth="1"/>
    <col min="3846" max="3846" width="10.140625" customWidth="1"/>
    <col min="3848" max="3848" width="10.28515625" customWidth="1"/>
    <col min="3850" max="3850" width="9" customWidth="1"/>
    <col min="3851" max="3851" width="10.42578125" bestFit="1" customWidth="1"/>
    <col min="3853" max="3853" width="11.140625" customWidth="1"/>
    <col min="3856" max="3856" width="11" customWidth="1"/>
    <col min="3857" max="3857" width="10.140625" customWidth="1"/>
    <col min="3859" max="3859" width="10" customWidth="1"/>
    <col min="3863" max="3863" width="19.85546875" customWidth="1"/>
    <col min="4097" max="4097" width="13.42578125" customWidth="1"/>
    <col min="4098" max="4098" width="24.42578125" customWidth="1"/>
    <col min="4099" max="4099" width="10.5703125" customWidth="1"/>
    <col min="4102" max="4102" width="10.140625" customWidth="1"/>
    <col min="4104" max="4104" width="10.28515625" customWidth="1"/>
    <col min="4106" max="4106" width="9" customWidth="1"/>
    <col min="4107" max="4107" width="10.42578125" bestFit="1" customWidth="1"/>
    <col min="4109" max="4109" width="11.140625" customWidth="1"/>
    <col min="4112" max="4112" width="11" customWidth="1"/>
    <col min="4113" max="4113" width="10.140625" customWidth="1"/>
    <col min="4115" max="4115" width="10" customWidth="1"/>
    <col min="4119" max="4119" width="19.85546875" customWidth="1"/>
    <col min="4353" max="4353" width="13.42578125" customWidth="1"/>
    <col min="4354" max="4354" width="24.42578125" customWidth="1"/>
    <col min="4355" max="4355" width="10.5703125" customWidth="1"/>
    <col min="4358" max="4358" width="10.140625" customWidth="1"/>
    <col min="4360" max="4360" width="10.28515625" customWidth="1"/>
    <col min="4362" max="4362" width="9" customWidth="1"/>
    <col min="4363" max="4363" width="10.42578125" bestFit="1" customWidth="1"/>
    <col min="4365" max="4365" width="11.140625" customWidth="1"/>
    <col min="4368" max="4368" width="11" customWidth="1"/>
    <col min="4369" max="4369" width="10.140625" customWidth="1"/>
    <col min="4371" max="4371" width="10" customWidth="1"/>
    <col min="4375" max="4375" width="19.85546875" customWidth="1"/>
    <col min="4609" max="4609" width="13.42578125" customWidth="1"/>
    <col min="4610" max="4610" width="24.42578125" customWidth="1"/>
    <col min="4611" max="4611" width="10.5703125" customWidth="1"/>
    <col min="4614" max="4614" width="10.140625" customWidth="1"/>
    <col min="4616" max="4616" width="10.28515625" customWidth="1"/>
    <col min="4618" max="4618" width="9" customWidth="1"/>
    <col min="4619" max="4619" width="10.42578125" bestFit="1" customWidth="1"/>
    <col min="4621" max="4621" width="11.140625" customWidth="1"/>
    <col min="4624" max="4624" width="11" customWidth="1"/>
    <col min="4625" max="4625" width="10.140625" customWidth="1"/>
    <col min="4627" max="4627" width="10" customWidth="1"/>
    <col min="4631" max="4631" width="19.85546875" customWidth="1"/>
    <col min="4865" max="4865" width="13.42578125" customWidth="1"/>
    <col min="4866" max="4866" width="24.42578125" customWidth="1"/>
    <col min="4867" max="4867" width="10.5703125" customWidth="1"/>
    <col min="4870" max="4870" width="10.140625" customWidth="1"/>
    <col min="4872" max="4872" width="10.28515625" customWidth="1"/>
    <col min="4874" max="4874" width="9" customWidth="1"/>
    <col min="4875" max="4875" width="10.42578125" bestFit="1" customWidth="1"/>
    <col min="4877" max="4877" width="11.140625" customWidth="1"/>
    <col min="4880" max="4880" width="11" customWidth="1"/>
    <col min="4881" max="4881" width="10.140625" customWidth="1"/>
    <col min="4883" max="4883" width="10" customWidth="1"/>
    <col min="4887" max="4887" width="19.85546875" customWidth="1"/>
    <col min="5121" max="5121" width="13.42578125" customWidth="1"/>
    <col min="5122" max="5122" width="24.42578125" customWidth="1"/>
    <col min="5123" max="5123" width="10.5703125" customWidth="1"/>
    <col min="5126" max="5126" width="10.140625" customWidth="1"/>
    <col min="5128" max="5128" width="10.28515625" customWidth="1"/>
    <col min="5130" max="5130" width="9" customWidth="1"/>
    <col min="5131" max="5131" width="10.42578125" bestFit="1" customWidth="1"/>
    <col min="5133" max="5133" width="11.140625" customWidth="1"/>
    <col min="5136" max="5136" width="11" customWidth="1"/>
    <col min="5137" max="5137" width="10.140625" customWidth="1"/>
    <col min="5139" max="5139" width="10" customWidth="1"/>
    <col min="5143" max="5143" width="19.85546875" customWidth="1"/>
    <col min="5377" max="5377" width="13.42578125" customWidth="1"/>
    <col min="5378" max="5378" width="24.42578125" customWidth="1"/>
    <col min="5379" max="5379" width="10.5703125" customWidth="1"/>
    <col min="5382" max="5382" width="10.140625" customWidth="1"/>
    <col min="5384" max="5384" width="10.28515625" customWidth="1"/>
    <col min="5386" max="5386" width="9" customWidth="1"/>
    <col min="5387" max="5387" width="10.42578125" bestFit="1" customWidth="1"/>
    <col min="5389" max="5389" width="11.140625" customWidth="1"/>
    <col min="5392" max="5392" width="11" customWidth="1"/>
    <col min="5393" max="5393" width="10.140625" customWidth="1"/>
    <col min="5395" max="5395" width="10" customWidth="1"/>
    <col min="5399" max="5399" width="19.85546875" customWidth="1"/>
    <col min="5633" max="5633" width="13.42578125" customWidth="1"/>
    <col min="5634" max="5634" width="24.42578125" customWidth="1"/>
    <col min="5635" max="5635" width="10.5703125" customWidth="1"/>
    <col min="5638" max="5638" width="10.140625" customWidth="1"/>
    <col min="5640" max="5640" width="10.28515625" customWidth="1"/>
    <col min="5642" max="5642" width="9" customWidth="1"/>
    <col min="5643" max="5643" width="10.42578125" bestFit="1" customWidth="1"/>
    <col min="5645" max="5645" width="11.140625" customWidth="1"/>
    <col min="5648" max="5648" width="11" customWidth="1"/>
    <col min="5649" max="5649" width="10.140625" customWidth="1"/>
    <col min="5651" max="5651" width="10" customWidth="1"/>
    <col min="5655" max="5655" width="19.85546875" customWidth="1"/>
    <col min="5889" max="5889" width="13.42578125" customWidth="1"/>
    <col min="5890" max="5890" width="24.42578125" customWidth="1"/>
    <col min="5891" max="5891" width="10.5703125" customWidth="1"/>
    <col min="5894" max="5894" width="10.140625" customWidth="1"/>
    <col min="5896" max="5896" width="10.28515625" customWidth="1"/>
    <col min="5898" max="5898" width="9" customWidth="1"/>
    <col min="5899" max="5899" width="10.42578125" bestFit="1" customWidth="1"/>
    <col min="5901" max="5901" width="11.140625" customWidth="1"/>
    <col min="5904" max="5904" width="11" customWidth="1"/>
    <col min="5905" max="5905" width="10.140625" customWidth="1"/>
    <col min="5907" max="5907" width="10" customWidth="1"/>
    <col min="5911" max="5911" width="19.85546875" customWidth="1"/>
    <col min="6145" max="6145" width="13.42578125" customWidth="1"/>
    <col min="6146" max="6146" width="24.42578125" customWidth="1"/>
    <col min="6147" max="6147" width="10.5703125" customWidth="1"/>
    <col min="6150" max="6150" width="10.140625" customWidth="1"/>
    <col min="6152" max="6152" width="10.28515625" customWidth="1"/>
    <col min="6154" max="6154" width="9" customWidth="1"/>
    <col min="6155" max="6155" width="10.42578125" bestFit="1" customWidth="1"/>
    <col min="6157" max="6157" width="11.140625" customWidth="1"/>
    <col min="6160" max="6160" width="11" customWidth="1"/>
    <col min="6161" max="6161" width="10.140625" customWidth="1"/>
    <col min="6163" max="6163" width="10" customWidth="1"/>
    <col min="6167" max="6167" width="19.85546875" customWidth="1"/>
    <col min="6401" max="6401" width="13.42578125" customWidth="1"/>
    <col min="6402" max="6402" width="24.42578125" customWidth="1"/>
    <col min="6403" max="6403" width="10.5703125" customWidth="1"/>
    <col min="6406" max="6406" width="10.140625" customWidth="1"/>
    <col min="6408" max="6408" width="10.28515625" customWidth="1"/>
    <col min="6410" max="6410" width="9" customWidth="1"/>
    <col min="6411" max="6411" width="10.42578125" bestFit="1" customWidth="1"/>
    <col min="6413" max="6413" width="11.140625" customWidth="1"/>
    <col min="6416" max="6416" width="11" customWidth="1"/>
    <col min="6417" max="6417" width="10.140625" customWidth="1"/>
    <col min="6419" max="6419" width="10" customWidth="1"/>
    <col min="6423" max="6423" width="19.85546875" customWidth="1"/>
    <col min="6657" max="6657" width="13.42578125" customWidth="1"/>
    <col min="6658" max="6658" width="24.42578125" customWidth="1"/>
    <col min="6659" max="6659" width="10.5703125" customWidth="1"/>
    <col min="6662" max="6662" width="10.140625" customWidth="1"/>
    <col min="6664" max="6664" width="10.28515625" customWidth="1"/>
    <col min="6666" max="6666" width="9" customWidth="1"/>
    <col min="6667" max="6667" width="10.42578125" bestFit="1" customWidth="1"/>
    <col min="6669" max="6669" width="11.140625" customWidth="1"/>
    <col min="6672" max="6672" width="11" customWidth="1"/>
    <col min="6673" max="6673" width="10.140625" customWidth="1"/>
    <col min="6675" max="6675" width="10" customWidth="1"/>
    <col min="6679" max="6679" width="19.85546875" customWidth="1"/>
    <col min="6913" max="6913" width="13.42578125" customWidth="1"/>
    <col min="6914" max="6914" width="24.42578125" customWidth="1"/>
    <col min="6915" max="6915" width="10.5703125" customWidth="1"/>
    <col min="6918" max="6918" width="10.140625" customWidth="1"/>
    <col min="6920" max="6920" width="10.28515625" customWidth="1"/>
    <col min="6922" max="6922" width="9" customWidth="1"/>
    <col min="6923" max="6923" width="10.42578125" bestFit="1" customWidth="1"/>
    <col min="6925" max="6925" width="11.140625" customWidth="1"/>
    <col min="6928" max="6928" width="11" customWidth="1"/>
    <col min="6929" max="6929" width="10.140625" customWidth="1"/>
    <col min="6931" max="6931" width="10" customWidth="1"/>
    <col min="6935" max="6935" width="19.85546875" customWidth="1"/>
    <col min="7169" max="7169" width="13.42578125" customWidth="1"/>
    <col min="7170" max="7170" width="24.42578125" customWidth="1"/>
    <col min="7171" max="7171" width="10.5703125" customWidth="1"/>
    <col min="7174" max="7174" width="10.140625" customWidth="1"/>
    <col min="7176" max="7176" width="10.28515625" customWidth="1"/>
    <col min="7178" max="7178" width="9" customWidth="1"/>
    <col min="7179" max="7179" width="10.42578125" bestFit="1" customWidth="1"/>
    <col min="7181" max="7181" width="11.140625" customWidth="1"/>
    <col min="7184" max="7184" width="11" customWidth="1"/>
    <col min="7185" max="7185" width="10.140625" customWidth="1"/>
    <col min="7187" max="7187" width="10" customWidth="1"/>
    <col min="7191" max="7191" width="19.85546875" customWidth="1"/>
    <col min="7425" max="7425" width="13.42578125" customWidth="1"/>
    <col min="7426" max="7426" width="24.42578125" customWidth="1"/>
    <col min="7427" max="7427" width="10.5703125" customWidth="1"/>
    <col min="7430" max="7430" width="10.140625" customWidth="1"/>
    <col min="7432" max="7432" width="10.28515625" customWidth="1"/>
    <col min="7434" max="7434" width="9" customWidth="1"/>
    <col min="7435" max="7435" width="10.42578125" bestFit="1" customWidth="1"/>
    <col min="7437" max="7437" width="11.140625" customWidth="1"/>
    <col min="7440" max="7440" width="11" customWidth="1"/>
    <col min="7441" max="7441" width="10.140625" customWidth="1"/>
    <col min="7443" max="7443" width="10" customWidth="1"/>
    <col min="7447" max="7447" width="19.85546875" customWidth="1"/>
    <col min="7681" max="7681" width="13.42578125" customWidth="1"/>
    <col min="7682" max="7682" width="24.42578125" customWidth="1"/>
    <col min="7683" max="7683" width="10.5703125" customWidth="1"/>
    <col min="7686" max="7686" width="10.140625" customWidth="1"/>
    <col min="7688" max="7688" width="10.28515625" customWidth="1"/>
    <col min="7690" max="7690" width="9" customWidth="1"/>
    <col min="7691" max="7691" width="10.42578125" bestFit="1" customWidth="1"/>
    <col min="7693" max="7693" width="11.140625" customWidth="1"/>
    <col min="7696" max="7696" width="11" customWidth="1"/>
    <col min="7697" max="7697" width="10.140625" customWidth="1"/>
    <col min="7699" max="7699" width="10" customWidth="1"/>
    <col min="7703" max="7703" width="19.85546875" customWidth="1"/>
    <col min="7937" max="7937" width="13.42578125" customWidth="1"/>
    <col min="7938" max="7938" width="24.42578125" customWidth="1"/>
    <col min="7939" max="7939" width="10.5703125" customWidth="1"/>
    <col min="7942" max="7942" width="10.140625" customWidth="1"/>
    <col min="7944" max="7944" width="10.28515625" customWidth="1"/>
    <col min="7946" max="7946" width="9" customWidth="1"/>
    <col min="7947" max="7947" width="10.42578125" bestFit="1" customWidth="1"/>
    <col min="7949" max="7949" width="11.140625" customWidth="1"/>
    <col min="7952" max="7952" width="11" customWidth="1"/>
    <col min="7953" max="7953" width="10.140625" customWidth="1"/>
    <col min="7955" max="7955" width="10" customWidth="1"/>
    <col min="7959" max="7959" width="19.85546875" customWidth="1"/>
    <col min="8193" max="8193" width="13.42578125" customWidth="1"/>
    <col min="8194" max="8194" width="24.42578125" customWidth="1"/>
    <col min="8195" max="8195" width="10.5703125" customWidth="1"/>
    <col min="8198" max="8198" width="10.140625" customWidth="1"/>
    <col min="8200" max="8200" width="10.28515625" customWidth="1"/>
    <col min="8202" max="8202" width="9" customWidth="1"/>
    <col min="8203" max="8203" width="10.42578125" bestFit="1" customWidth="1"/>
    <col min="8205" max="8205" width="11.140625" customWidth="1"/>
    <col min="8208" max="8208" width="11" customWidth="1"/>
    <col min="8209" max="8209" width="10.140625" customWidth="1"/>
    <col min="8211" max="8211" width="10" customWidth="1"/>
    <col min="8215" max="8215" width="19.85546875" customWidth="1"/>
    <col min="8449" max="8449" width="13.42578125" customWidth="1"/>
    <col min="8450" max="8450" width="24.42578125" customWidth="1"/>
    <col min="8451" max="8451" width="10.5703125" customWidth="1"/>
    <col min="8454" max="8454" width="10.140625" customWidth="1"/>
    <col min="8456" max="8456" width="10.28515625" customWidth="1"/>
    <col min="8458" max="8458" width="9" customWidth="1"/>
    <col min="8459" max="8459" width="10.42578125" bestFit="1" customWidth="1"/>
    <col min="8461" max="8461" width="11.140625" customWidth="1"/>
    <col min="8464" max="8464" width="11" customWidth="1"/>
    <col min="8465" max="8465" width="10.140625" customWidth="1"/>
    <col min="8467" max="8467" width="10" customWidth="1"/>
    <col min="8471" max="8471" width="19.85546875" customWidth="1"/>
    <col min="8705" max="8705" width="13.42578125" customWidth="1"/>
    <col min="8706" max="8706" width="24.42578125" customWidth="1"/>
    <col min="8707" max="8707" width="10.5703125" customWidth="1"/>
    <col min="8710" max="8710" width="10.140625" customWidth="1"/>
    <col min="8712" max="8712" width="10.28515625" customWidth="1"/>
    <col min="8714" max="8714" width="9" customWidth="1"/>
    <col min="8715" max="8715" width="10.42578125" bestFit="1" customWidth="1"/>
    <col min="8717" max="8717" width="11.140625" customWidth="1"/>
    <col min="8720" max="8720" width="11" customWidth="1"/>
    <col min="8721" max="8721" width="10.140625" customWidth="1"/>
    <col min="8723" max="8723" width="10" customWidth="1"/>
    <col min="8727" max="8727" width="19.85546875" customWidth="1"/>
    <col min="8961" max="8961" width="13.42578125" customWidth="1"/>
    <col min="8962" max="8962" width="24.42578125" customWidth="1"/>
    <col min="8963" max="8963" width="10.5703125" customWidth="1"/>
    <col min="8966" max="8966" width="10.140625" customWidth="1"/>
    <col min="8968" max="8968" width="10.28515625" customWidth="1"/>
    <col min="8970" max="8970" width="9" customWidth="1"/>
    <col min="8971" max="8971" width="10.42578125" bestFit="1" customWidth="1"/>
    <col min="8973" max="8973" width="11.140625" customWidth="1"/>
    <col min="8976" max="8976" width="11" customWidth="1"/>
    <col min="8977" max="8977" width="10.140625" customWidth="1"/>
    <col min="8979" max="8979" width="10" customWidth="1"/>
    <col min="8983" max="8983" width="19.85546875" customWidth="1"/>
    <col min="9217" max="9217" width="13.42578125" customWidth="1"/>
    <col min="9218" max="9218" width="24.42578125" customWidth="1"/>
    <col min="9219" max="9219" width="10.5703125" customWidth="1"/>
    <col min="9222" max="9222" width="10.140625" customWidth="1"/>
    <col min="9224" max="9224" width="10.28515625" customWidth="1"/>
    <col min="9226" max="9226" width="9" customWidth="1"/>
    <col min="9227" max="9227" width="10.42578125" bestFit="1" customWidth="1"/>
    <col min="9229" max="9229" width="11.140625" customWidth="1"/>
    <col min="9232" max="9232" width="11" customWidth="1"/>
    <col min="9233" max="9233" width="10.140625" customWidth="1"/>
    <col min="9235" max="9235" width="10" customWidth="1"/>
    <col min="9239" max="9239" width="19.85546875" customWidth="1"/>
    <col min="9473" max="9473" width="13.42578125" customWidth="1"/>
    <col min="9474" max="9474" width="24.42578125" customWidth="1"/>
    <col min="9475" max="9475" width="10.5703125" customWidth="1"/>
    <col min="9478" max="9478" width="10.140625" customWidth="1"/>
    <col min="9480" max="9480" width="10.28515625" customWidth="1"/>
    <col min="9482" max="9482" width="9" customWidth="1"/>
    <col min="9483" max="9483" width="10.42578125" bestFit="1" customWidth="1"/>
    <col min="9485" max="9485" width="11.140625" customWidth="1"/>
    <col min="9488" max="9488" width="11" customWidth="1"/>
    <col min="9489" max="9489" width="10.140625" customWidth="1"/>
    <col min="9491" max="9491" width="10" customWidth="1"/>
    <col min="9495" max="9495" width="19.85546875" customWidth="1"/>
    <col min="9729" max="9729" width="13.42578125" customWidth="1"/>
    <col min="9730" max="9730" width="24.42578125" customWidth="1"/>
    <col min="9731" max="9731" width="10.5703125" customWidth="1"/>
    <col min="9734" max="9734" width="10.140625" customWidth="1"/>
    <col min="9736" max="9736" width="10.28515625" customWidth="1"/>
    <col min="9738" max="9738" width="9" customWidth="1"/>
    <col min="9739" max="9739" width="10.42578125" bestFit="1" customWidth="1"/>
    <col min="9741" max="9741" width="11.140625" customWidth="1"/>
    <col min="9744" max="9744" width="11" customWidth="1"/>
    <col min="9745" max="9745" width="10.140625" customWidth="1"/>
    <col min="9747" max="9747" width="10" customWidth="1"/>
    <col min="9751" max="9751" width="19.85546875" customWidth="1"/>
    <col min="9985" max="9985" width="13.42578125" customWidth="1"/>
    <col min="9986" max="9986" width="24.42578125" customWidth="1"/>
    <col min="9987" max="9987" width="10.5703125" customWidth="1"/>
    <col min="9990" max="9990" width="10.140625" customWidth="1"/>
    <col min="9992" max="9992" width="10.28515625" customWidth="1"/>
    <col min="9994" max="9994" width="9" customWidth="1"/>
    <col min="9995" max="9995" width="10.42578125" bestFit="1" customWidth="1"/>
    <col min="9997" max="9997" width="11.140625" customWidth="1"/>
    <col min="10000" max="10000" width="11" customWidth="1"/>
    <col min="10001" max="10001" width="10.140625" customWidth="1"/>
    <col min="10003" max="10003" width="10" customWidth="1"/>
    <col min="10007" max="10007" width="19.85546875" customWidth="1"/>
    <col min="10241" max="10241" width="13.42578125" customWidth="1"/>
    <col min="10242" max="10242" width="24.42578125" customWidth="1"/>
    <col min="10243" max="10243" width="10.5703125" customWidth="1"/>
    <col min="10246" max="10246" width="10.140625" customWidth="1"/>
    <col min="10248" max="10248" width="10.28515625" customWidth="1"/>
    <col min="10250" max="10250" width="9" customWidth="1"/>
    <col min="10251" max="10251" width="10.42578125" bestFit="1" customWidth="1"/>
    <col min="10253" max="10253" width="11.140625" customWidth="1"/>
    <col min="10256" max="10256" width="11" customWidth="1"/>
    <col min="10257" max="10257" width="10.140625" customWidth="1"/>
    <col min="10259" max="10259" width="10" customWidth="1"/>
    <col min="10263" max="10263" width="19.85546875" customWidth="1"/>
    <col min="10497" max="10497" width="13.42578125" customWidth="1"/>
    <col min="10498" max="10498" width="24.42578125" customWidth="1"/>
    <col min="10499" max="10499" width="10.5703125" customWidth="1"/>
    <col min="10502" max="10502" width="10.140625" customWidth="1"/>
    <col min="10504" max="10504" width="10.28515625" customWidth="1"/>
    <col min="10506" max="10506" width="9" customWidth="1"/>
    <col min="10507" max="10507" width="10.42578125" bestFit="1" customWidth="1"/>
    <col min="10509" max="10509" width="11.140625" customWidth="1"/>
    <col min="10512" max="10512" width="11" customWidth="1"/>
    <col min="10513" max="10513" width="10.140625" customWidth="1"/>
    <col min="10515" max="10515" width="10" customWidth="1"/>
    <col min="10519" max="10519" width="19.85546875" customWidth="1"/>
    <col min="10753" max="10753" width="13.42578125" customWidth="1"/>
    <col min="10754" max="10754" width="24.42578125" customWidth="1"/>
    <col min="10755" max="10755" width="10.5703125" customWidth="1"/>
    <col min="10758" max="10758" width="10.140625" customWidth="1"/>
    <col min="10760" max="10760" width="10.28515625" customWidth="1"/>
    <col min="10762" max="10762" width="9" customWidth="1"/>
    <col min="10763" max="10763" width="10.42578125" bestFit="1" customWidth="1"/>
    <col min="10765" max="10765" width="11.140625" customWidth="1"/>
    <col min="10768" max="10768" width="11" customWidth="1"/>
    <col min="10769" max="10769" width="10.140625" customWidth="1"/>
    <col min="10771" max="10771" width="10" customWidth="1"/>
    <col min="10775" max="10775" width="19.85546875" customWidth="1"/>
    <col min="11009" max="11009" width="13.42578125" customWidth="1"/>
    <col min="11010" max="11010" width="24.42578125" customWidth="1"/>
    <col min="11011" max="11011" width="10.5703125" customWidth="1"/>
    <col min="11014" max="11014" width="10.140625" customWidth="1"/>
    <col min="11016" max="11016" width="10.28515625" customWidth="1"/>
    <col min="11018" max="11018" width="9" customWidth="1"/>
    <col min="11019" max="11019" width="10.42578125" bestFit="1" customWidth="1"/>
    <col min="11021" max="11021" width="11.140625" customWidth="1"/>
    <col min="11024" max="11024" width="11" customWidth="1"/>
    <col min="11025" max="11025" width="10.140625" customWidth="1"/>
    <col min="11027" max="11027" width="10" customWidth="1"/>
    <col min="11031" max="11031" width="19.85546875" customWidth="1"/>
    <col min="11265" max="11265" width="13.42578125" customWidth="1"/>
    <col min="11266" max="11266" width="24.42578125" customWidth="1"/>
    <col min="11267" max="11267" width="10.5703125" customWidth="1"/>
    <col min="11270" max="11270" width="10.140625" customWidth="1"/>
    <col min="11272" max="11272" width="10.28515625" customWidth="1"/>
    <col min="11274" max="11274" width="9" customWidth="1"/>
    <col min="11275" max="11275" width="10.42578125" bestFit="1" customWidth="1"/>
    <col min="11277" max="11277" width="11.140625" customWidth="1"/>
    <col min="11280" max="11280" width="11" customWidth="1"/>
    <col min="11281" max="11281" width="10.140625" customWidth="1"/>
    <col min="11283" max="11283" width="10" customWidth="1"/>
    <col min="11287" max="11287" width="19.85546875" customWidth="1"/>
    <col min="11521" max="11521" width="13.42578125" customWidth="1"/>
    <col min="11522" max="11522" width="24.42578125" customWidth="1"/>
    <col min="11523" max="11523" width="10.5703125" customWidth="1"/>
    <col min="11526" max="11526" width="10.140625" customWidth="1"/>
    <col min="11528" max="11528" width="10.28515625" customWidth="1"/>
    <col min="11530" max="11530" width="9" customWidth="1"/>
    <col min="11531" max="11531" width="10.42578125" bestFit="1" customWidth="1"/>
    <col min="11533" max="11533" width="11.140625" customWidth="1"/>
    <col min="11536" max="11536" width="11" customWidth="1"/>
    <col min="11537" max="11537" width="10.140625" customWidth="1"/>
    <col min="11539" max="11539" width="10" customWidth="1"/>
    <col min="11543" max="11543" width="19.85546875" customWidth="1"/>
    <col min="11777" max="11777" width="13.42578125" customWidth="1"/>
    <col min="11778" max="11778" width="24.42578125" customWidth="1"/>
    <col min="11779" max="11779" width="10.5703125" customWidth="1"/>
    <col min="11782" max="11782" width="10.140625" customWidth="1"/>
    <col min="11784" max="11784" width="10.28515625" customWidth="1"/>
    <col min="11786" max="11786" width="9" customWidth="1"/>
    <col min="11787" max="11787" width="10.42578125" bestFit="1" customWidth="1"/>
    <col min="11789" max="11789" width="11.140625" customWidth="1"/>
    <col min="11792" max="11792" width="11" customWidth="1"/>
    <col min="11793" max="11793" width="10.140625" customWidth="1"/>
    <col min="11795" max="11795" width="10" customWidth="1"/>
    <col min="11799" max="11799" width="19.85546875" customWidth="1"/>
    <col min="12033" max="12033" width="13.42578125" customWidth="1"/>
    <col min="12034" max="12034" width="24.42578125" customWidth="1"/>
    <col min="12035" max="12035" width="10.5703125" customWidth="1"/>
    <col min="12038" max="12038" width="10.140625" customWidth="1"/>
    <col min="12040" max="12040" width="10.28515625" customWidth="1"/>
    <col min="12042" max="12042" width="9" customWidth="1"/>
    <col min="12043" max="12043" width="10.42578125" bestFit="1" customWidth="1"/>
    <col min="12045" max="12045" width="11.140625" customWidth="1"/>
    <col min="12048" max="12048" width="11" customWidth="1"/>
    <col min="12049" max="12049" width="10.140625" customWidth="1"/>
    <col min="12051" max="12051" width="10" customWidth="1"/>
    <col min="12055" max="12055" width="19.85546875" customWidth="1"/>
    <col min="12289" max="12289" width="13.42578125" customWidth="1"/>
    <col min="12290" max="12290" width="24.42578125" customWidth="1"/>
    <col min="12291" max="12291" width="10.5703125" customWidth="1"/>
    <col min="12294" max="12294" width="10.140625" customWidth="1"/>
    <col min="12296" max="12296" width="10.28515625" customWidth="1"/>
    <col min="12298" max="12298" width="9" customWidth="1"/>
    <col min="12299" max="12299" width="10.42578125" bestFit="1" customWidth="1"/>
    <col min="12301" max="12301" width="11.140625" customWidth="1"/>
    <col min="12304" max="12304" width="11" customWidth="1"/>
    <col min="12305" max="12305" width="10.140625" customWidth="1"/>
    <col min="12307" max="12307" width="10" customWidth="1"/>
    <col min="12311" max="12311" width="19.85546875" customWidth="1"/>
    <col min="12545" max="12545" width="13.42578125" customWidth="1"/>
    <col min="12546" max="12546" width="24.42578125" customWidth="1"/>
    <col min="12547" max="12547" width="10.5703125" customWidth="1"/>
    <col min="12550" max="12550" width="10.140625" customWidth="1"/>
    <col min="12552" max="12552" width="10.28515625" customWidth="1"/>
    <col min="12554" max="12554" width="9" customWidth="1"/>
    <col min="12555" max="12555" width="10.42578125" bestFit="1" customWidth="1"/>
    <col min="12557" max="12557" width="11.140625" customWidth="1"/>
    <col min="12560" max="12560" width="11" customWidth="1"/>
    <col min="12561" max="12561" width="10.140625" customWidth="1"/>
    <col min="12563" max="12563" width="10" customWidth="1"/>
    <col min="12567" max="12567" width="19.85546875" customWidth="1"/>
    <col min="12801" max="12801" width="13.42578125" customWidth="1"/>
    <col min="12802" max="12802" width="24.42578125" customWidth="1"/>
    <col min="12803" max="12803" width="10.5703125" customWidth="1"/>
    <col min="12806" max="12806" width="10.140625" customWidth="1"/>
    <col min="12808" max="12808" width="10.28515625" customWidth="1"/>
    <col min="12810" max="12810" width="9" customWidth="1"/>
    <col min="12811" max="12811" width="10.42578125" bestFit="1" customWidth="1"/>
    <col min="12813" max="12813" width="11.140625" customWidth="1"/>
    <col min="12816" max="12816" width="11" customWidth="1"/>
    <col min="12817" max="12817" width="10.140625" customWidth="1"/>
    <col min="12819" max="12819" width="10" customWidth="1"/>
    <col min="12823" max="12823" width="19.85546875" customWidth="1"/>
    <col min="13057" max="13057" width="13.42578125" customWidth="1"/>
    <col min="13058" max="13058" width="24.42578125" customWidth="1"/>
    <col min="13059" max="13059" width="10.5703125" customWidth="1"/>
    <col min="13062" max="13062" width="10.140625" customWidth="1"/>
    <col min="13064" max="13064" width="10.28515625" customWidth="1"/>
    <col min="13066" max="13066" width="9" customWidth="1"/>
    <col min="13067" max="13067" width="10.42578125" bestFit="1" customWidth="1"/>
    <col min="13069" max="13069" width="11.140625" customWidth="1"/>
    <col min="13072" max="13072" width="11" customWidth="1"/>
    <col min="13073" max="13073" width="10.140625" customWidth="1"/>
    <col min="13075" max="13075" width="10" customWidth="1"/>
    <col min="13079" max="13079" width="19.85546875" customWidth="1"/>
    <col min="13313" max="13313" width="13.42578125" customWidth="1"/>
    <col min="13314" max="13314" width="24.42578125" customWidth="1"/>
    <col min="13315" max="13315" width="10.5703125" customWidth="1"/>
    <col min="13318" max="13318" width="10.140625" customWidth="1"/>
    <col min="13320" max="13320" width="10.28515625" customWidth="1"/>
    <col min="13322" max="13322" width="9" customWidth="1"/>
    <col min="13323" max="13323" width="10.42578125" bestFit="1" customWidth="1"/>
    <col min="13325" max="13325" width="11.140625" customWidth="1"/>
    <col min="13328" max="13328" width="11" customWidth="1"/>
    <col min="13329" max="13329" width="10.140625" customWidth="1"/>
    <col min="13331" max="13331" width="10" customWidth="1"/>
    <col min="13335" max="13335" width="19.85546875" customWidth="1"/>
    <col min="13569" max="13569" width="13.42578125" customWidth="1"/>
    <col min="13570" max="13570" width="24.42578125" customWidth="1"/>
    <col min="13571" max="13571" width="10.5703125" customWidth="1"/>
    <col min="13574" max="13574" width="10.140625" customWidth="1"/>
    <col min="13576" max="13576" width="10.28515625" customWidth="1"/>
    <col min="13578" max="13578" width="9" customWidth="1"/>
    <col min="13579" max="13579" width="10.42578125" bestFit="1" customWidth="1"/>
    <col min="13581" max="13581" width="11.140625" customWidth="1"/>
    <col min="13584" max="13584" width="11" customWidth="1"/>
    <col min="13585" max="13585" width="10.140625" customWidth="1"/>
    <col min="13587" max="13587" width="10" customWidth="1"/>
    <col min="13591" max="13591" width="19.85546875" customWidth="1"/>
    <col min="13825" max="13825" width="13.42578125" customWidth="1"/>
    <col min="13826" max="13826" width="24.42578125" customWidth="1"/>
    <col min="13827" max="13827" width="10.5703125" customWidth="1"/>
    <col min="13830" max="13830" width="10.140625" customWidth="1"/>
    <col min="13832" max="13832" width="10.28515625" customWidth="1"/>
    <col min="13834" max="13834" width="9" customWidth="1"/>
    <col min="13835" max="13835" width="10.42578125" bestFit="1" customWidth="1"/>
    <col min="13837" max="13837" width="11.140625" customWidth="1"/>
    <col min="13840" max="13840" width="11" customWidth="1"/>
    <col min="13841" max="13841" width="10.140625" customWidth="1"/>
    <col min="13843" max="13843" width="10" customWidth="1"/>
    <col min="13847" max="13847" width="19.85546875" customWidth="1"/>
    <col min="14081" max="14081" width="13.42578125" customWidth="1"/>
    <col min="14082" max="14082" width="24.42578125" customWidth="1"/>
    <col min="14083" max="14083" width="10.5703125" customWidth="1"/>
    <col min="14086" max="14086" width="10.140625" customWidth="1"/>
    <col min="14088" max="14088" width="10.28515625" customWidth="1"/>
    <col min="14090" max="14090" width="9" customWidth="1"/>
    <col min="14091" max="14091" width="10.42578125" bestFit="1" customWidth="1"/>
    <col min="14093" max="14093" width="11.140625" customWidth="1"/>
    <col min="14096" max="14096" width="11" customWidth="1"/>
    <col min="14097" max="14097" width="10.140625" customWidth="1"/>
    <col min="14099" max="14099" width="10" customWidth="1"/>
    <col min="14103" max="14103" width="19.85546875" customWidth="1"/>
    <col min="14337" max="14337" width="13.42578125" customWidth="1"/>
    <col min="14338" max="14338" width="24.42578125" customWidth="1"/>
    <col min="14339" max="14339" width="10.5703125" customWidth="1"/>
    <col min="14342" max="14342" width="10.140625" customWidth="1"/>
    <col min="14344" max="14344" width="10.28515625" customWidth="1"/>
    <col min="14346" max="14346" width="9" customWidth="1"/>
    <col min="14347" max="14347" width="10.42578125" bestFit="1" customWidth="1"/>
    <col min="14349" max="14349" width="11.140625" customWidth="1"/>
    <col min="14352" max="14352" width="11" customWidth="1"/>
    <col min="14353" max="14353" width="10.140625" customWidth="1"/>
    <col min="14355" max="14355" width="10" customWidth="1"/>
    <col min="14359" max="14359" width="19.85546875" customWidth="1"/>
    <col min="14593" max="14593" width="13.42578125" customWidth="1"/>
    <col min="14594" max="14594" width="24.42578125" customWidth="1"/>
    <col min="14595" max="14595" width="10.5703125" customWidth="1"/>
    <col min="14598" max="14598" width="10.140625" customWidth="1"/>
    <col min="14600" max="14600" width="10.28515625" customWidth="1"/>
    <col min="14602" max="14602" width="9" customWidth="1"/>
    <col min="14603" max="14603" width="10.42578125" bestFit="1" customWidth="1"/>
    <col min="14605" max="14605" width="11.140625" customWidth="1"/>
    <col min="14608" max="14608" width="11" customWidth="1"/>
    <col min="14609" max="14609" width="10.140625" customWidth="1"/>
    <col min="14611" max="14611" width="10" customWidth="1"/>
    <col min="14615" max="14615" width="19.85546875" customWidth="1"/>
    <col min="14849" max="14849" width="13.42578125" customWidth="1"/>
    <col min="14850" max="14850" width="24.42578125" customWidth="1"/>
    <col min="14851" max="14851" width="10.5703125" customWidth="1"/>
    <col min="14854" max="14854" width="10.140625" customWidth="1"/>
    <col min="14856" max="14856" width="10.28515625" customWidth="1"/>
    <col min="14858" max="14858" width="9" customWidth="1"/>
    <col min="14859" max="14859" width="10.42578125" bestFit="1" customWidth="1"/>
    <col min="14861" max="14861" width="11.140625" customWidth="1"/>
    <col min="14864" max="14864" width="11" customWidth="1"/>
    <col min="14865" max="14865" width="10.140625" customWidth="1"/>
    <col min="14867" max="14867" width="10" customWidth="1"/>
    <col min="14871" max="14871" width="19.85546875" customWidth="1"/>
    <col min="15105" max="15105" width="13.42578125" customWidth="1"/>
    <col min="15106" max="15106" width="24.42578125" customWidth="1"/>
    <col min="15107" max="15107" width="10.5703125" customWidth="1"/>
    <col min="15110" max="15110" width="10.140625" customWidth="1"/>
    <col min="15112" max="15112" width="10.28515625" customWidth="1"/>
    <col min="15114" max="15114" width="9" customWidth="1"/>
    <col min="15115" max="15115" width="10.42578125" bestFit="1" customWidth="1"/>
    <col min="15117" max="15117" width="11.140625" customWidth="1"/>
    <col min="15120" max="15120" width="11" customWidth="1"/>
    <col min="15121" max="15121" width="10.140625" customWidth="1"/>
    <col min="15123" max="15123" width="10" customWidth="1"/>
    <col min="15127" max="15127" width="19.85546875" customWidth="1"/>
    <col min="15361" max="15361" width="13.42578125" customWidth="1"/>
    <col min="15362" max="15362" width="24.42578125" customWidth="1"/>
    <col min="15363" max="15363" width="10.5703125" customWidth="1"/>
    <col min="15366" max="15366" width="10.140625" customWidth="1"/>
    <col min="15368" max="15368" width="10.28515625" customWidth="1"/>
    <col min="15370" max="15370" width="9" customWidth="1"/>
    <col min="15371" max="15371" width="10.42578125" bestFit="1" customWidth="1"/>
    <col min="15373" max="15373" width="11.140625" customWidth="1"/>
    <col min="15376" max="15376" width="11" customWidth="1"/>
    <col min="15377" max="15377" width="10.140625" customWidth="1"/>
    <col min="15379" max="15379" width="10" customWidth="1"/>
    <col min="15383" max="15383" width="19.85546875" customWidth="1"/>
    <col min="15617" max="15617" width="13.42578125" customWidth="1"/>
    <col min="15618" max="15618" width="24.42578125" customWidth="1"/>
    <col min="15619" max="15619" width="10.5703125" customWidth="1"/>
    <col min="15622" max="15622" width="10.140625" customWidth="1"/>
    <col min="15624" max="15624" width="10.28515625" customWidth="1"/>
    <col min="15626" max="15626" width="9" customWidth="1"/>
    <col min="15627" max="15627" width="10.42578125" bestFit="1" customWidth="1"/>
    <col min="15629" max="15629" width="11.140625" customWidth="1"/>
    <col min="15632" max="15632" width="11" customWidth="1"/>
    <col min="15633" max="15633" width="10.140625" customWidth="1"/>
    <col min="15635" max="15635" width="10" customWidth="1"/>
    <col min="15639" max="15639" width="19.85546875" customWidth="1"/>
    <col min="15873" max="15873" width="13.42578125" customWidth="1"/>
    <col min="15874" max="15874" width="24.42578125" customWidth="1"/>
    <col min="15875" max="15875" width="10.5703125" customWidth="1"/>
    <col min="15878" max="15878" width="10.140625" customWidth="1"/>
    <col min="15880" max="15880" width="10.28515625" customWidth="1"/>
    <col min="15882" max="15882" width="9" customWidth="1"/>
    <col min="15883" max="15883" width="10.42578125" bestFit="1" customWidth="1"/>
    <col min="15885" max="15885" width="11.140625" customWidth="1"/>
    <col min="15888" max="15888" width="11" customWidth="1"/>
    <col min="15889" max="15889" width="10.140625" customWidth="1"/>
    <col min="15891" max="15891" width="10" customWidth="1"/>
    <col min="15895" max="15895" width="19.85546875" customWidth="1"/>
    <col min="16129" max="16129" width="13.42578125" customWidth="1"/>
    <col min="16130" max="16130" width="24.42578125" customWidth="1"/>
    <col min="16131" max="16131" width="10.5703125" customWidth="1"/>
    <col min="16134" max="16134" width="10.140625" customWidth="1"/>
    <col min="16136" max="16136" width="10.28515625" customWidth="1"/>
    <col min="16138" max="16138" width="9" customWidth="1"/>
    <col min="16139" max="16139" width="10.42578125" bestFit="1" customWidth="1"/>
    <col min="16141" max="16141" width="11.140625" customWidth="1"/>
    <col min="16144" max="16144" width="11" customWidth="1"/>
    <col min="16145" max="16145" width="10.140625" customWidth="1"/>
    <col min="16147" max="16147" width="10" customWidth="1"/>
    <col min="16151" max="16151" width="19.85546875" customWidth="1"/>
  </cols>
  <sheetData>
    <row r="2" spans="1:28" x14ac:dyDescent="0.25">
      <c r="A2" t="s">
        <v>0</v>
      </c>
      <c r="B2" t="s">
        <v>1</v>
      </c>
      <c r="C2" s="1" t="s">
        <v>2</v>
      </c>
    </row>
    <row r="4" spans="1:28" ht="72.75" x14ac:dyDescent="0.25">
      <c r="B4" s="2"/>
      <c r="C4" s="3" t="s">
        <v>3</v>
      </c>
      <c r="D4" s="4" t="s">
        <v>4</v>
      </c>
      <c r="E4" s="5" t="s">
        <v>5</v>
      </c>
      <c r="F4" s="6" t="s">
        <v>6</v>
      </c>
      <c r="G4" s="6" t="s">
        <v>7</v>
      </c>
      <c r="H4" s="3" t="s">
        <v>8</v>
      </c>
      <c r="I4" s="3" t="s">
        <v>9</v>
      </c>
      <c r="J4" s="4" t="s">
        <v>4</v>
      </c>
      <c r="K4" s="5" t="s">
        <v>5</v>
      </c>
      <c r="L4" s="6" t="s">
        <v>10</v>
      </c>
      <c r="M4" s="6"/>
      <c r="P4" s="7" t="s">
        <v>11</v>
      </c>
      <c r="Q4" s="8" t="s">
        <v>4</v>
      </c>
      <c r="R4" s="8" t="s">
        <v>5</v>
      </c>
      <c r="S4" s="9" t="s">
        <v>12</v>
      </c>
      <c r="T4" s="8" t="s">
        <v>6</v>
      </c>
      <c r="U4" s="9" t="s">
        <v>7</v>
      </c>
      <c r="V4" s="8" t="s">
        <v>13</v>
      </c>
      <c r="W4" s="8" t="s">
        <v>4</v>
      </c>
      <c r="X4" s="10" t="s">
        <v>5</v>
      </c>
      <c r="Y4" s="11" t="s">
        <v>14</v>
      </c>
      <c r="Z4" s="11" t="s">
        <v>15</v>
      </c>
      <c r="AA4" s="11" t="s">
        <v>16</v>
      </c>
      <c r="AB4" s="11" t="s">
        <v>17</v>
      </c>
    </row>
    <row r="5" spans="1:28" x14ac:dyDescent="0.25">
      <c r="B5" s="2" t="s">
        <v>18</v>
      </c>
      <c r="C5" s="12">
        <f>SUM(C10:C36)</f>
        <v>366.56199999999995</v>
      </c>
      <c r="D5" s="13" t="s">
        <v>19</v>
      </c>
      <c r="E5" s="13" t="s">
        <v>19</v>
      </c>
      <c r="F5" s="13">
        <v>0.114</v>
      </c>
      <c r="G5" s="14">
        <f>SUM(G10:G36)</f>
        <v>100.58550000000001</v>
      </c>
      <c r="H5" s="14">
        <v>293.07</v>
      </c>
      <c r="I5" s="15">
        <f>SUM(I10:I36)</f>
        <v>2926.4880000000003</v>
      </c>
      <c r="J5" s="13" t="s">
        <v>19</v>
      </c>
      <c r="K5" s="13" t="s">
        <v>19</v>
      </c>
      <c r="L5" s="16">
        <v>3210.027</v>
      </c>
      <c r="M5" s="17">
        <f>C5/L5</f>
        <v>0.1141928089701426</v>
      </c>
      <c r="N5" t="s">
        <v>20</v>
      </c>
      <c r="O5" s="18"/>
      <c r="P5" s="19">
        <f>C5*1000</f>
        <v>366561.99999999994</v>
      </c>
      <c r="Q5" s="20" t="s">
        <v>21</v>
      </c>
      <c r="R5" s="21" t="s">
        <v>21</v>
      </c>
      <c r="S5" s="22">
        <f>L5*1000</f>
        <v>3210027</v>
      </c>
      <c r="T5" s="23">
        <f>P5/S5</f>
        <v>0.1141928089701426</v>
      </c>
      <c r="U5" s="24">
        <f>SUM(U10:U36)</f>
        <v>100.58550000000001</v>
      </c>
      <c r="V5" s="25">
        <f>SUM(V10:V36)</f>
        <v>2926488</v>
      </c>
      <c r="W5" s="25"/>
      <c r="X5" s="26"/>
      <c r="Z5" s="27"/>
      <c r="AA5" s="22"/>
    </row>
    <row r="6" spans="1:28" x14ac:dyDescent="0.25">
      <c r="B6" s="28" t="s">
        <v>22</v>
      </c>
      <c r="C6" s="29"/>
      <c r="D6" s="30"/>
      <c r="E6" s="30"/>
      <c r="F6" s="31"/>
      <c r="G6" s="29"/>
      <c r="H6" s="32"/>
      <c r="I6" s="33"/>
      <c r="J6" s="34"/>
      <c r="K6" s="34"/>
      <c r="L6" s="35"/>
      <c r="M6" s="36"/>
      <c r="N6" t="s">
        <v>23</v>
      </c>
      <c r="O6" s="18"/>
      <c r="P6" s="37"/>
      <c r="Q6" s="25" t="s">
        <v>21</v>
      </c>
      <c r="R6" s="26" t="s">
        <v>21</v>
      </c>
      <c r="S6" s="38"/>
      <c r="T6" s="39"/>
      <c r="U6" s="24">
        <f>SUM(U10:U39)</f>
        <v>105.69650000000001</v>
      </c>
      <c r="V6" s="25">
        <f>SUM(V10:V39)</f>
        <v>3035586</v>
      </c>
      <c r="W6" s="25"/>
      <c r="X6" s="26"/>
      <c r="Z6" s="27"/>
      <c r="AA6" s="22"/>
    </row>
    <row r="7" spans="1:28" x14ac:dyDescent="0.25">
      <c r="B7" s="40" t="s">
        <v>24</v>
      </c>
      <c r="C7" s="35">
        <f>C5-C11-C31</f>
        <v>356.26399999999995</v>
      </c>
      <c r="D7" s="33"/>
      <c r="E7" s="33"/>
      <c r="F7" s="41">
        <v>0.115</v>
      </c>
      <c r="G7" s="35">
        <f>G5-G11-G31</f>
        <v>94.849500000000006</v>
      </c>
      <c r="H7" s="42"/>
      <c r="I7" s="42"/>
      <c r="J7" s="34"/>
      <c r="K7" s="34"/>
      <c r="L7" s="35">
        <f>L5-L11-L31</f>
        <v>3109.047</v>
      </c>
      <c r="M7" s="36">
        <f t="shared" ref="M7:M39" si="0">C7/L7</f>
        <v>0.11458945458206324</v>
      </c>
      <c r="O7" s="18"/>
      <c r="P7" s="37"/>
      <c r="Q7" s="43"/>
      <c r="R7" s="44"/>
      <c r="S7" s="43"/>
      <c r="T7" s="45"/>
      <c r="U7" s="46"/>
      <c r="V7" s="43"/>
      <c r="W7" s="43"/>
      <c r="X7" s="44"/>
      <c r="Z7" s="27"/>
      <c r="AA7" s="22"/>
    </row>
    <row r="8" spans="1:28" x14ac:dyDescent="0.25">
      <c r="B8" s="40" t="s">
        <v>25</v>
      </c>
      <c r="C8" s="35">
        <f>C10+C13+C14+C16+C17+C18+C19+C20+C24+C27+C28+C30+C34+C35+C36</f>
        <v>301.68399999999997</v>
      </c>
      <c r="D8" s="33"/>
      <c r="E8" s="33"/>
      <c r="F8" s="41">
        <v>0.11</v>
      </c>
      <c r="G8" s="35">
        <f>G10+G13+G14+G16+G17+G18+G19+G20+G24+G27+G28+G30+G34+G35+G36</f>
        <v>77.574999999999989</v>
      </c>
      <c r="H8" s="42"/>
      <c r="I8" s="42"/>
      <c r="J8" s="34"/>
      <c r="K8" s="34"/>
      <c r="L8" s="35">
        <f>L10+L13+L14+L16+L17+L18+L19+L20+L24+L27+L28+L30+L34+L35+L36</f>
        <v>2759.5129999999999</v>
      </c>
      <c r="M8" s="36">
        <f t="shared" si="0"/>
        <v>0.1093250874339059</v>
      </c>
      <c r="O8" s="18"/>
      <c r="P8" s="37"/>
      <c r="Q8" s="43"/>
      <c r="R8" s="44"/>
      <c r="S8" s="43"/>
      <c r="T8" s="45"/>
      <c r="U8" s="46"/>
      <c r="V8" s="43"/>
      <c r="W8" s="43"/>
      <c r="X8" s="44"/>
      <c r="Z8" s="27"/>
      <c r="AA8" s="22"/>
    </row>
    <row r="9" spans="1:28" x14ac:dyDescent="0.25">
      <c r="B9" s="40" t="s">
        <v>26</v>
      </c>
      <c r="C9" s="35">
        <f>C10+C14+C16+C17+C18+C19+C20+C24+C27+C28+C30+C34</f>
        <v>246.34999999999997</v>
      </c>
      <c r="D9" s="33"/>
      <c r="E9" s="33"/>
      <c r="F9" s="41">
        <v>0.112</v>
      </c>
      <c r="G9" s="35">
        <f>G10+G14+G16+G17+G18+G19+G20+G24+G27+G28+G30+G34</f>
        <v>62.065999999999995</v>
      </c>
      <c r="H9" s="42"/>
      <c r="I9" s="42"/>
      <c r="J9" s="34"/>
      <c r="K9" s="34"/>
      <c r="L9" s="35">
        <f>L10+L14+L16+L17+L18+L19+L20+L24+L27+L28+L30+L34</f>
        <v>2210.7669999999998</v>
      </c>
      <c r="M9" s="36">
        <f t="shared" si="0"/>
        <v>0.1114319148060379</v>
      </c>
      <c r="O9" s="18"/>
      <c r="P9" s="37"/>
      <c r="Q9" s="43"/>
      <c r="R9" s="44"/>
      <c r="S9" s="43"/>
      <c r="T9" s="45"/>
      <c r="U9" s="46"/>
      <c r="V9" s="43"/>
      <c r="W9" s="43"/>
      <c r="X9" s="44"/>
      <c r="Z9" s="27"/>
      <c r="AA9" s="22"/>
    </row>
    <row r="10" spans="1:28" x14ac:dyDescent="0.25">
      <c r="B10" s="47" t="s">
        <v>27</v>
      </c>
      <c r="C10" s="48">
        <v>13.188000000000001</v>
      </c>
      <c r="D10" s="49">
        <v>0.6776615104640582</v>
      </c>
      <c r="E10" s="49">
        <v>0.32233848953594174</v>
      </c>
      <c r="F10" s="49">
        <v>0.14456563442038914</v>
      </c>
      <c r="G10" s="50">
        <v>2.42</v>
      </c>
      <c r="H10" s="50">
        <v>4.9189999999999996</v>
      </c>
      <c r="I10" s="51">
        <v>77</v>
      </c>
      <c r="J10" s="49">
        <v>0.33500000000000002</v>
      </c>
      <c r="K10" s="49">
        <f>100%-J10</f>
        <v>0.66500000000000004</v>
      </c>
      <c r="L10" s="16">
        <v>91.224999999999994</v>
      </c>
      <c r="M10" s="17">
        <f t="shared" si="0"/>
        <v>0.14456563442038917</v>
      </c>
      <c r="N10" t="s">
        <v>28</v>
      </c>
      <c r="O10" s="52"/>
      <c r="P10" s="53">
        <f t="shared" ref="P10:P38" si="1">C10*1000</f>
        <v>13188</v>
      </c>
      <c r="Q10" s="43">
        <f>P10-R10</f>
        <v>8937</v>
      </c>
      <c r="R10" s="44">
        <f t="shared" ref="R10:R25" si="2">P10*E10</f>
        <v>4251</v>
      </c>
      <c r="S10" s="54">
        <f>L10*1000</f>
        <v>91225</v>
      </c>
      <c r="T10" s="55">
        <f t="shared" ref="T10:T39" si="3">P10/S10</f>
        <v>0.14456563442038914</v>
      </c>
      <c r="U10" s="46">
        <f>G10</f>
        <v>2.42</v>
      </c>
      <c r="V10" s="43">
        <f>I10*1000</f>
        <v>77000</v>
      </c>
      <c r="W10" s="43">
        <f>V10-X10</f>
        <v>25795</v>
      </c>
      <c r="X10" s="44">
        <f>V10*K10</f>
        <v>51205</v>
      </c>
      <c r="Y10" s="18">
        <f>R10/P10</f>
        <v>0.32233848953594174</v>
      </c>
      <c r="Z10" s="56">
        <f>X10/V10</f>
        <v>0.66500000000000004</v>
      </c>
      <c r="AA10" s="57">
        <f>30%-10%</f>
        <v>0.19999999999999998</v>
      </c>
      <c r="AB10" s="58">
        <f t="shared" ref="AB10:AB36" si="4">AA10*U50</f>
        <v>8143.7999999999993</v>
      </c>
    </row>
    <row r="11" spans="1:28" x14ac:dyDescent="0.25">
      <c r="B11" s="47" t="s">
        <v>29</v>
      </c>
      <c r="C11" s="48">
        <v>4.0380000000000003</v>
      </c>
      <c r="D11" s="49">
        <v>0.95393759286775637</v>
      </c>
      <c r="E11" s="49">
        <v>4.6062407132243688E-2</v>
      </c>
      <c r="F11" s="49">
        <v>9.3985662415045149E-2</v>
      </c>
      <c r="G11" s="50">
        <v>1.2769999999999999</v>
      </c>
      <c r="H11" s="50">
        <v>5.8179999999999996</v>
      </c>
      <c r="I11" s="51">
        <v>44.453000000000003</v>
      </c>
      <c r="J11" s="49">
        <v>0.96405192000539897</v>
      </c>
      <c r="K11" s="49">
        <f t="shared" ref="K11:K36" si="5">100%-J11</f>
        <v>3.5948079994601034E-2</v>
      </c>
      <c r="L11" s="16">
        <v>42.963999999999999</v>
      </c>
      <c r="M11" s="17">
        <f t="shared" si="0"/>
        <v>9.3985662415045162E-2</v>
      </c>
      <c r="N11" s="59"/>
      <c r="P11" s="53">
        <f t="shared" si="1"/>
        <v>4038.0000000000005</v>
      </c>
      <c r="Q11" s="43">
        <f>P11-R11</f>
        <v>3852.0000000000005</v>
      </c>
      <c r="R11" s="44">
        <f t="shared" si="2"/>
        <v>186.00000000000003</v>
      </c>
      <c r="S11" s="54">
        <f t="shared" ref="S11:S39" si="6">L11*1000</f>
        <v>42964</v>
      </c>
      <c r="T11" s="55">
        <f t="shared" si="3"/>
        <v>9.3985662415045162E-2</v>
      </c>
      <c r="U11" s="46">
        <f t="shared" ref="U11:U39" si="7">G11</f>
        <v>1.2769999999999999</v>
      </c>
      <c r="V11" s="43">
        <f t="shared" ref="V11:V39" si="8">I11*1000</f>
        <v>44453</v>
      </c>
      <c r="W11" s="43">
        <f t="shared" ref="W11:W39" si="9">V11-X11</f>
        <v>42855</v>
      </c>
      <c r="X11" s="44">
        <f t="shared" ref="X11:X39" si="10">V11*K11</f>
        <v>1597.9999999999998</v>
      </c>
      <c r="Y11" s="18">
        <f t="shared" ref="Y11:Y36" si="11">R11/P11</f>
        <v>4.6062407132243688E-2</v>
      </c>
      <c r="Z11" s="56">
        <f t="shared" ref="Z11:Z36" si="12">X11/V11</f>
        <v>3.5948079994601034E-2</v>
      </c>
      <c r="AA11" s="57">
        <f t="shared" ref="AA11:AA35" si="13">(Y11+Z11)/2</f>
        <v>4.1005243563422361E-2</v>
      </c>
      <c r="AB11" s="58">
        <f t="shared" si="4"/>
        <v>895.93960786849721</v>
      </c>
    </row>
    <row r="12" spans="1:28" x14ac:dyDescent="0.25">
      <c r="B12" s="47" t="s">
        <v>30</v>
      </c>
      <c r="C12" s="48">
        <v>11.045</v>
      </c>
      <c r="D12" s="49">
        <v>0.69053870529651429</v>
      </c>
      <c r="E12" s="49">
        <v>0.30946129470348577</v>
      </c>
      <c r="F12" s="49">
        <v>0.13428571428571429</v>
      </c>
      <c r="G12" s="50">
        <v>4.7640000000000002</v>
      </c>
      <c r="H12" s="50">
        <v>19.010999999999999</v>
      </c>
      <c r="I12" s="51">
        <v>119.902</v>
      </c>
      <c r="J12" s="49">
        <v>0.59759637036913482</v>
      </c>
      <c r="K12" s="49">
        <f t="shared" si="5"/>
        <v>0.40240362963086518</v>
      </c>
      <c r="L12" s="16">
        <v>82.25</v>
      </c>
      <c r="M12" s="17">
        <f t="shared" si="0"/>
        <v>0.13428571428571429</v>
      </c>
      <c r="N12" s="59"/>
      <c r="P12" s="53">
        <f t="shared" si="1"/>
        <v>11045</v>
      </c>
      <c r="Q12" s="43">
        <f t="shared" ref="Q12:Q39" si="14">P12-R12</f>
        <v>7627</v>
      </c>
      <c r="R12" s="44">
        <f t="shared" si="2"/>
        <v>3418.0000000000005</v>
      </c>
      <c r="S12" s="54">
        <f t="shared" si="6"/>
        <v>82250</v>
      </c>
      <c r="T12" s="55">
        <f t="shared" si="3"/>
        <v>0.13428571428571429</v>
      </c>
      <c r="U12" s="46">
        <f t="shared" si="7"/>
        <v>4.7640000000000002</v>
      </c>
      <c r="V12" s="43">
        <f t="shared" si="8"/>
        <v>119902</v>
      </c>
      <c r="W12" s="43">
        <f t="shared" si="9"/>
        <v>71653</v>
      </c>
      <c r="X12" s="44">
        <f t="shared" si="10"/>
        <v>48249</v>
      </c>
      <c r="Y12" s="18">
        <f t="shared" si="11"/>
        <v>0.30946129470348577</v>
      </c>
      <c r="Z12" s="56">
        <f t="shared" si="12"/>
        <v>0.40240362963086523</v>
      </c>
      <c r="AA12" s="57">
        <f>(Y12+Z12)/2-10%</f>
        <v>0.25593246216717547</v>
      </c>
      <c r="AB12" s="58">
        <f t="shared" si="4"/>
        <v>15135.427994291189</v>
      </c>
    </row>
    <row r="13" spans="1:28" x14ac:dyDescent="0.25">
      <c r="B13" s="47" t="s">
        <v>31</v>
      </c>
      <c r="C13" s="48">
        <v>16.478999999999999</v>
      </c>
      <c r="D13" s="49"/>
      <c r="E13" s="49">
        <v>1</v>
      </c>
      <c r="F13" s="49">
        <v>0.45316796832031681</v>
      </c>
      <c r="G13" s="50">
        <v>5.2830000000000004</v>
      </c>
      <c r="H13" s="50">
        <v>10.26</v>
      </c>
      <c r="I13" s="51">
        <v>109.842</v>
      </c>
      <c r="J13" s="49"/>
      <c r="K13" s="49">
        <f t="shared" si="5"/>
        <v>1</v>
      </c>
      <c r="L13" s="16">
        <v>36.363999999999997</v>
      </c>
      <c r="M13" s="17">
        <f t="shared" si="0"/>
        <v>0.45316796832031681</v>
      </c>
      <c r="N13" s="59"/>
      <c r="P13" s="53">
        <f t="shared" si="1"/>
        <v>16479</v>
      </c>
      <c r="Q13" s="43"/>
      <c r="R13" s="44">
        <f t="shared" si="2"/>
        <v>16479</v>
      </c>
      <c r="S13" s="54">
        <f t="shared" si="6"/>
        <v>36364</v>
      </c>
      <c r="T13" s="55">
        <f t="shared" si="3"/>
        <v>0.45316796832031681</v>
      </c>
      <c r="U13" s="46">
        <f t="shared" si="7"/>
        <v>5.2830000000000004</v>
      </c>
      <c r="V13" s="43">
        <f t="shared" si="8"/>
        <v>109842</v>
      </c>
      <c r="W13" s="43" t="s">
        <v>21</v>
      </c>
      <c r="X13" s="44">
        <f t="shared" si="10"/>
        <v>109842</v>
      </c>
      <c r="Y13" s="18">
        <f t="shared" si="11"/>
        <v>1</v>
      </c>
      <c r="Z13" s="56">
        <f t="shared" si="12"/>
        <v>1</v>
      </c>
      <c r="AA13" s="57">
        <v>0.15</v>
      </c>
      <c r="AB13" s="58">
        <f t="shared" si="4"/>
        <v>9398.6215200000006</v>
      </c>
    </row>
    <row r="14" spans="1:28" x14ac:dyDescent="0.25">
      <c r="B14" s="47" t="s">
        <v>32</v>
      </c>
      <c r="C14" s="48">
        <v>77.034999999999997</v>
      </c>
      <c r="D14" s="49">
        <v>0.65516972804569351</v>
      </c>
      <c r="E14" s="49">
        <v>0.34483027195430649</v>
      </c>
      <c r="F14" s="49">
        <v>0.13002477787679925</v>
      </c>
      <c r="G14" s="50">
        <v>22.494</v>
      </c>
      <c r="H14" s="50">
        <v>50.07</v>
      </c>
      <c r="I14" s="51">
        <v>628.66399999999999</v>
      </c>
      <c r="J14" s="49">
        <v>0.54607230571497656</v>
      </c>
      <c r="K14" s="49">
        <f t="shared" si="5"/>
        <v>0.45392769428502344</v>
      </c>
      <c r="L14" s="16">
        <v>592.46400000000006</v>
      </c>
      <c r="M14" s="17">
        <f t="shared" si="0"/>
        <v>0.13002477787679925</v>
      </c>
      <c r="N14" s="59"/>
      <c r="P14" s="53">
        <f t="shared" si="1"/>
        <v>77035</v>
      </c>
      <c r="Q14" s="43">
        <f t="shared" si="14"/>
        <v>50471</v>
      </c>
      <c r="R14" s="44">
        <f t="shared" si="2"/>
        <v>26564</v>
      </c>
      <c r="S14" s="54">
        <f t="shared" si="6"/>
        <v>592464</v>
      </c>
      <c r="T14" s="55">
        <f t="shared" si="3"/>
        <v>0.13002477787679925</v>
      </c>
      <c r="U14" s="46">
        <f t="shared" si="7"/>
        <v>22.494</v>
      </c>
      <c r="V14" s="43">
        <f t="shared" si="8"/>
        <v>628664</v>
      </c>
      <c r="W14" s="43">
        <f t="shared" si="9"/>
        <v>343296</v>
      </c>
      <c r="X14" s="44">
        <f t="shared" si="10"/>
        <v>285368</v>
      </c>
      <c r="Y14" s="18">
        <f t="shared" si="11"/>
        <v>0.34483027195430649</v>
      </c>
      <c r="Z14" s="56">
        <f t="shared" si="12"/>
        <v>0.4539276942850235</v>
      </c>
      <c r="AA14" s="57">
        <f>35%-5%</f>
        <v>0.3</v>
      </c>
      <c r="AB14" s="58">
        <f t="shared" si="4"/>
        <v>99786.48</v>
      </c>
    </row>
    <row r="15" spans="1:28" x14ac:dyDescent="0.25">
      <c r="B15" s="47" t="s">
        <v>33</v>
      </c>
      <c r="C15" s="48">
        <v>0.80700000000000005</v>
      </c>
      <c r="D15" s="49">
        <v>0.90830235439900864</v>
      </c>
      <c r="E15" s="49">
        <v>9.169764560099132E-2</v>
      </c>
      <c r="F15" s="49">
        <v>9.1923909329080761E-2</v>
      </c>
      <c r="G15" s="50">
        <v>0.41499999999999998</v>
      </c>
      <c r="H15" s="50">
        <v>1.4610000000000001</v>
      </c>
      <c r="I15" s="51">
        <v>11.51</v>
      </c>
      <c r="J15" s="49">
        <v>0.83848827106863599</v>
      </c>
      <c r="K15" s="49">
        <f t="shared" si="5"/>
        <v>0.16151172893136401</v>
      </c>
      <c r="L15" s="16">
        <v>8.7789999999999999</v>
      </c>
      <c r="M15" s="17">
        <f t="shared" si="0"/>
        <v>9.1923909329080761E-2</v>
      </c>
      <c r="N15" s="59"/>
      <c r="P15" s="53">
        <f t="shared" si="1"/>
        <v>807</v>
      </c>
      <c r="Q15" s="43">
        <f t="shared" si="14"/>
        <v>733</v>
      </c>
      <c r="R15" s="44">
        <f t="shared" si="2"/>
        <v>74</v>
      </c>
      <c r="S15" s="54">
        <f t="shared" si="6"/>
        <v>8779</v>
      </c>
      <c r="T15" s="55">
        <f t="shared" si="3"/>
        <v>9.1923909329080761E-2</v>
      </c>
      <c r="U15" s="46">
        <f t="shared" si="7"/>
        <v>0.41499999999999998</v>
      </c>
      <c r="V15" s="43">
        <f t="shared" si="8"/>
        <v>11510</v>
      </c>
      <c r="W15" s="43">
        <f t="shared" si="9"/>
        <v>9651</v>
      </c>
      <c r="X15" s="44">
        <f t="shared" si="10"/>
        <v>1858.9999999999998</v>
      </c>
      <c r="Y15" s="18">
        <f t="shared" si="11"/>
        <v>9.169764560099132E-2</v>
      </c>
      <c r="Z15" s="56">
        <f t="shared" si="12"/>
        <v>0.16151172893136401</v>
      </c>
      <c r="AA15" s="57">
        <f t="shared" si="13"/>
        <v>0.12660468726617766</v>
      </c>
      <c r="AB15" s="58">
        <f t="shared" si="4"/>
        <v>631.25097070916195</v>
      </c>
    </row>
    <row r="16" spans="1:28" x14ac:dyDescent="0.25">
      <c r="B16" s="47" t="s">
        <v>34</v>
      </c>
      <c r="C16" s="48">
        <v>1.7849999999999999</v>
      </c>
      <c r="D16" s="49">
        <v>0</v>
      </c>
      <c r="E16" s="49">
        <v>1</v>
      </c>
      <c r="F16" s="49">
        <v>6.3203739111960908E-2</v>
      </c>
      <c r="G16" s="50">
        <v>0.28599999999999998</v>
      </c>
      <c r="H16" s="50">
        <v>0.65800000000000003</v>
      </c>
      <c r="I16" s="51">
        <v>10.922000000000001</v>
      </c>
      <c r="J16" s="49">
        <v>0</v>
      </c>
      <c r="K16" s="49">
        <f t="shared" si="5"/>
        <v>1</v>
      </c>
      <c r="L16" s="16">
        <v>28.242000000000001</v>
      </c>
      <c r="M16" s="17">
        <f t="shared" si="0"/>
        <v>6.3203739111960908E-2</v>
      </c>
      <c r="N16" s="59"/>
      <c r="P16" s="53">
        <f t="shared" si="1"/>
        <v>1785</v>
      </c>
      <c r="Q16" s="43">
        <f>P16-R16</f>
        <v>0</v>
      </c>
      <c r="R16" s="44">
        <f t="shared" si="2"/>
        <v>1785</v>
      </c>
      <c r="S16" s="54">
        <f t="shared" si="6"/>
        <v>28242</v>
      </c>
      <c r="T16" s="55">
        <f t="shared" si="3"/>
        <v>6.3203739111960908E-2</v>
      </c>
      <c r="U16" s="46">
        <f t="shared" si="7"/>
        <v>0.28599999999999998</v>
      </c>
      <c r="V16" s="43">
        <f t="shared" si="8"/>
        <v>10922</v>
      </c>
      <c r="W16" s="43">
        <f>V16-X16</f>
        <v>0</v>
      </c>
      <c r="X16" s="44">
        <f t="shared" si="10"/>
        <v>10922</v>
      </c>
      <c r="Y16" s="18">
        <f t="shared" si="11"/>
        <v>1</v>
      </c>
      <c r="Z16" s="56">
        <f t="shared" si="12"/>
        <v>1</v>
      </c>
      <c r="AA16" s="57">
        <v>0.5</v>
      </c>
      <c r="AB16" s="58">
        <f t="shared" si="4"/>
        <v>2977.7500000000005</v>
      </c>
    </row>
    <row r="17" spans="2:28" x14ac:dyDescent="0.25">
      <c r="B17" s="60" t="s">
        <v>35</v>
      </c>
      <c r="C17" s="48">
        <v>1.843</v>
      </c>
      <c r="D17" s="49">
        <v>0.10092240911557243</v>
      </c>
      <c r="E17" s="49">
        <v>0.89907759088442751</v>
      </c>
      <c r="F17" s="49">
        <v>3.0033406665037073E-2</v>
      </c>
      <c r="G17" s="50">
        <v>0.51</v>
      </c>
      <c r="H17" s="50">
        <v>0.77200000000000002</v>
      </c>
      <c r="I17" s="51">
        <v>10.762</v>
      </c>
      <c r="J17" s="49">
        <v>0.28647091618658244</v>
      </c>
      <c r="K17" s="49">
        <f t="shared" si="5"/>
        <v>0.71352908381341762</v>
      </c>
      <c r="L17" s="16">
        <v>61.365000000000002</v>
      </c>
      <c r="M17" s="17">
        <f t="shared" si="0"/>
        <v>3.0033406665037073E-2</v>
      </c>
      <c r="N17" s="59"/>
      <c r="P17" s="53">
        <f t="shared" si="1"/>
        <v>1843</v>
      </c>
      <c r="Q17" s="43">
        <f t="shared" si="14"/>
        <v>186</v>
      </c>
      <c r="R17" s="44">
        <f t="shared" si="2"/>
        <v>1657</v>
      </c>
      <c r="S17" s="54">
        <f t="shared" si="6"/>
        <v>61365</v>
      </c>
      <c r="T17" s="55">
        <f t="shared" si="3"/>
        <v>3.0033406665037073E-2</v>
      </c>
      <c r="U17" s="46">
        <f t="shared" si="7"/>
        <v>0.51</v>
      </c>
      <c r="V17" s="43">
        <f t="shared" si="8"/>
        <v>10762</v>
      </c>
      <c r="W17" s="43">
        <f t="shared" si="9"/>
        <v>3083</v>
      </c>
      <c r="X17" s="44">
        <f t="shared" si="10"/>
        <v>7679</v>
      </c>
      <c r="Y17" s="18">
        <f t="shared" si="11"/>
        <v>0.89907759088442751</v>
      </c>
      <c r="Z17" s="56">
        <f t="shared" si="12"/>
        <v>0.71352908381341762</v>
      </c>
      <c r="AA17" s="57">
        <f t="shared" si="13"/>
        <v>0.80630333734892257</v>
      </c>
      <c r="AB17" s="58">
        <f t="shared" si="4"/>
        <v>5195.4785533752074</v>
      </c>
    </row>
    <row r="18" spans="2:28" x14ac:dyDescent="0.25">
      <c r="B18" s="60" t="s">
        <v>36</v>
      </c>
      <c r="C18" s="48">
        <v>21.974</v>
      </c>
      <c r="D18" s="49">
        <v>0</v>
      </c>
      <c r="E18" s="49">
        <v>1</v>
      </c>
      <c r="F18" s="49">
        <v>7.4780412935983698E-2</v>
      </c>
      <c r="G18" s="50">
        <v>3.65</v>
      </c>
      <c r="H18" s="50">
        <v>10.818</v>
      </c>
      <c r="I18" s="51">
        <v>172.68899999999999</v>
      </c>
      <c r="J18" s="49">
        <v>0</v>
      </c>
      <c r="K18" s="49">
        <f t="shared" si="5"/>
        <v>1</v>
      </c>
      <c r="L18" s="16">
        <v>293.84699999999998</v>
      </c>
      <c r="M18" s="17">
        <f t="shared" si="0"/>
        <v>7.4780412935983698E-2</v>
      </c>
      <c r="N18" s="59"/>
      <c r="P18" s="53">
        <f t="shared" si="1"/>
        <v>21974</v>
      </c>
      <c r="Q18" s="43">
        <f t="shared" si="14"/>
        <v>0</v>
      </c>
      <c r="R18" s="44">
        <f t="shared" si="2"/>
        <v>21974</v>
      </c>
      <c r="S18" s="54">
        <f t="shared" si="6"/>
        <v>293847</v>
      </c>
      <c r="T18" s="55">
        <f t="shared" si="3"/>
        <v>7.4780412935983698E-2</v>
      </c>
      <c r="U18" s="46">
        <f t="shared" si="7"/>
        <v>3.65</v>
      </c>
      <c r="V18" s="43">
        <f t="shared" si="8"/>
        <v>172689</v>
      </c>
      <c r="W18" s="43">
        <f t="shared" si="9"/>
        <v>0</v>
      </c>
      <c r="X18" s="44">
        <f t="shared" si="10"/>
        <v>172689</v>
      </c>
      <c r="Y18" s="18">
        <f t="shared" si="11"/>
        <v>1</v>
      </c>
      <c r="Z18" s="56">
        <f t="shared" si="12"/>
        <v>1</v>
      </c>
      <c r="AA18" s="57">
        <f>50%-10%</f>
        <v>0.4</v>
      </c>
      <c r="AB18" s="58">
        <f t="shared" si="4"/>
        <v>37305.068906666667</v>
      </c>
    </row>
    <row r="19" spans="2:28" x14ac:dyDescent="0.25">
      <c r="B19" s="60" t="s">
        <v>37</v>
      </c>
      <c r="C19" s="48">
        <v>23.369</v>
      </c>
      <c r="D19" s="49">
        <v>0.49009371389447559</v>
      </c>
      <c r="E19" s="49">
        <v>0.50990628610552446</v>
      </c>
      <c r="F19" s="49">
        <v>4.308880878407656E-2</v>
      </c>
      <c r="G19" s="50">
        <v>5.6779999999999999</v>
      </c>
      <c r="H19" s="50">
        <v>14.901</v>
      </c>
      <c r="I19" s="51">
        <v>197.435</v>
      </c>
      <c r="J19" s="49">
        <v>0.34091726390964117</v>
      </c>
      <c r="K19" s="49">
        <f t="shared" si="5"/>
        <v>0.65908273609035883</v>
      </c>
      <c r="L19" s="16">
        <v>542.34500000000003</v>
      </c>
      <c r="M19" s="17">
        <f t="shared" si="0"/>
        <v>4.3088808784076553E-2</v>
      </c>
      <c r="N19" s="59"/>
      <c r="P19" s="53">
        <f t="shared" si="1"/>
        <v>23369</v>
      </c>
      <c r="Q19" s="43">
        <f t="shared" si="14"/>
        <v>11452.999999999998</v>
      </c>
      <c r="R19" s="44">
        <f t="shared" si="2"/>
        <v>11916.000000000002</v>
      </c>
      <c r="S19" s="54">
        <f t="shared" si="6"/>
        <v>542345</v>
      </c>
      <c r="T19" s="55">
        <f t="shared" si="3"/>
        <v>4.308880878407656E-2</v>
      </c>
      <c r="U19" s="46">
        <f t="shared" si="7"/>
        <v>5.6779999999999999</v>
      </c>
      <c r="V19" s="43">
        <f t="shared" si="8"/>
        <v>197435</v>
      </c>
      <c r="W19" s="43">
        <f t="shared" si="9"/>
        <v>67309</v>
      </c>
      <c r="X19" s="44">
        <f t="shared" si="10"/>
        <v>130126</v>
      </c>
      <c r="Y19" s="18">
        <f t="shared" si="11"/>
        <v>0.50990628610552446</v>
      </c>
      <c r="Z19" s="56">
        <f t="shared" si="12"/>
        <v>0.65908273609035883</v>
      </c>
      <c r="AA19" s="57">
        <f>(Y19+Z19)/2-10%</f>
        <v>0.48449451109794162</v>
      </c>
      <c r="AB19" s="58">
        <f t="shared" si="4"/>
        <v>49830.308915874404</v>
      </c>
    </row>
    <row r="20" spans="2:28" x14ac:dyDescent="0.25">
      <c r="B20" s="60" t="s">
        <v>38</v>
      </c>
      <c r="C20" s="48">
        <v>29.939</v>
      </c>
      <c r="D20" s="49">
        <v>0.59297237716690609</v>
      </c>
      <c r="E20" s="49">
        <v>0.40702762283309396</v>
      </c>
      <c r="F20" s="49">
        <v>0.1023062387020274</v>
      </c>
      <c r="G20" s="50">
        <v>7.6740000000000004</v>
      </c>
      <c r="H20" s="50">
        <v>57.92</v>
      </c>
      <c r="I20" s="51">
        <v>180.82</v>
      </c>
      <c r="J20" s="49">
        <v>0.42531799579692514</v>
      </c>
      <c r="K20" s="49">
        <f t="shared" si="5"/>
        <v>0.57468200420307491</v>
      </c>
      <c r="L20" s="16">
        <v>292.64100000000002</v>
      </c>
      <c r="M20" s="17">
        <f t="shared" si="0"/>
        <v>0.10230623870202739</v>
      </c>
      <c r="N20" s="59"/>
      <c r="P20" s="53">
        <f t="shared" si="1"/>
        <v>29939</v>
      </c>
      <c r="Q20" s="43">
        <f t="shared" si="14"/>
        <v>17753</v>
      </c>
      <c r="R20" s="44">
        <f t="shared" si="2"/>
        <v>12186</v>
      </c>
      <c r="S20" s="54">
        <f t="shared" si="6"/>
        <v>292641</v>
      </c>
      <c r="T20" s="55">
        <f t="shared" si="3"/>
        <v>0.1023062387020274</v>
      </c>
      <c r="U20" s="46">
        <f t="shared" si="7"/>
        <v>7.6740000000000004</v>
      </c>
      <c r="V20" s="43">
        <f t="shared" si="8"/>
        <v>180820</v>
      </c>
      <c r="W20" s="43">
        <f t="shared" si="9"/>
        <v>76906</v>
      </c>
      <c r="X20" s="44">
        <f t="shared" si="10"/>
        <v>103914</v>
      </c>
      <c r="Y20" s="18">
        <f t="shared" si="11"/>
        <v>0.40702762283309396</v>
      </c>
      <c r="Z20" s="56">
        <f t="shared" si="12"/>
        <v>0.57468200420307491</v>
      </c>
      <c r="AA20" s="57">
        <f>(Y20+Z20)/2-10%</f>
        <v>0.39085481351808449</v>
      </c>
      <c r="AB20" s="58">
        <f t="shared" si="4"/>
        <v>41780.188693568525</v>
      </c>
    </row>
    <row r="21" spans="2:28" x14ac:dyDescent="0.25">
      <c r="B21" s="47" t="s">
        <v>39</v>
      </c>
      <c r="C21" s="48">
        <v>1.9E-2</v>
      </c>
      <c r="D21" s="49"/>
      <c r="E21" s="49">
        <v>1</v>
      </c>
      <c r="F21" s="49">
        <v>3.6349722594222309E-3</v>
      </c>
      <c r="G21" s="50">
        <v>5.0000000000000001E-3</v>
      </c>
      <c r="H21" s="50">
        <v>6.0000000000000001E-3</v>
      </c>
      <c r="I21" s="51">
        <v>9.1999999999999998E-2</v>
      </c>
      <c r="J21" s="49"/>
      <c r="K21" s="49">
        <f t="shared" si="5"/>
        <v>1</v>
      </c>
      <c r="L21" s="16">
        <v>5.2270000000000003</v>
      </c>
      <c r="M21" s="17">
        <f t="shared" si="0"/>
        <v>3.6349722594222304E-3</v>
      </c>
      <c r="N21" s="59"/>
      <c r="P21" s="53">
        <f t="shared" si="1"/>
        <v>19</v>
      </c>
      <c r="Q21" s="43">
        <f t="shared" si="14"/>
        <v>0</v>
      </c>
      <c r="R21" s="44">
        <f t="shared" si="2"/>
        <v>19</v>
      </c>
      <c r="S21" s="54">
        <f t="shared" si="6"/>
        <v>5227</v>
      </c>
      <c r="T21" s="55">
        <f t="shared" si="3"/>
        <v>3.6349722594222309E-3</v>
      </c>
      <c r="U21" s="46">
        <f t="shared" si="7"/>
        <v>5.0000000000000001E-3</v>
      </c>
      <c r="V21" s="43">
        <f t="shared" si="8"/>
        <v>92</v>
      </c>
      <c r="W21" s="43">
        <f t="shared" si="9"/>
        <v>0</v>
      </c>
      <c r="X21" s="44">
        <f t="shared" si="10"/>
        <v>92</v>
      </c>
      <c r="Y21" s="18">
        <f t="shared" si="11"/>
        <v>1</v>
      </c>
      <c r="Z21" s="56">
        <f t="shared" si="12"/>
        <v>1</v>
      </c>
      <c r="AA21" s="57">
        <f t="shared" si="13"/>
        <v>1</v>
      </c>
      <c r="AB21" s="58">
        <f t="shared" si="4"/>
        <v>59.410133333333334</v>
      </c>
    </row>
    <row r="22" spans="2:28" x14ac:dyDescent="0.25">
      <c r="B22" s="47" t="s">
        <v>40</v>
      </c>
      <c r="C22" s="48">
        <v>1.0980000000000001</v>
      </c>
      <c r="D22" s="49">
        <v>0.96721311475409832</v>
      </c>
      <c r="E22" s="49">
        <v>3.2786885245901641E-2</v>
      </c>
      <c r="F22" s="49">
        <v>0.19716286586460766</v>
      </c>
      <c r="G22" s="50">
        <v>0.25600000000000001</v>
      </c>
      <c r="H22" s="50">
        <v>0.374</v>
      </c>
      <c r="I22" s="51">
        <v>4.9400000000000004</v>
      </c>
      <c r="J22" s="49">
        <v>0.96599190283400804</v>
      </c>
      <c r="K22" s="49">
        <f t="shared" si="5"/>
        <v>3.4008097165991957E-2</v>
      </c>
      <c r="L22" s="16">
        <v>5.569</v>
      </c>
      <c r="M22" s="17">
        <f t="shared" si="0"/>
        <v>0.19716286586460766</v>
      </c>
      <c r="N22" s="59"/>
      <c r="P22" s="53">
        <f t="shared" si="1"/>
        <v>1098</v>
      </c>
      <c r="Q22" s="43">
        <f t="shared" si="14"/>
        <v>1062</v>
      </c>
      <c r="R22" s="44">
        <f t="shared" si="2"/>
        <v>36</v>
      </c>
      <c r="S22" s="54">
        <f t="shared" si="6"/>
        <v>5569</v>
      </c>
      <c r="T22" s="55">
        <f t="shared" si="3"/>
        <v>0.19716286586460766</v>
      </c>
      <c r="U22" s="46">
        <f t="shared" si="7"/>
        <v>0.25600000000000001</v>
      </c>
      <c r="V22" s="43">
        <f t="shared" si="8"/>
        <v>4940</v>
      </c>
      <c r="W22" s="43">
        <f t="shared" si="9"/>
        <v>4772</v>
      </c>
      <c r="X22" s="44">
        <f t="shared" si="10"/>
        <v>168.00000000000026</v>
      </c>
      <c r="Y22" s="18">
        <f t="shared" si="11"/>
        <v>3.2786885245901641E-2</v>
      </c>
      <c r="Z22" s="56">
        <f t="shared" si="12"/>
        <v>3.4008097165991957E-2</v>
      </c>
      <c r="AA22" s="57">
        <f t="shared" si="13"/>
        <v>3.3397491205946803E-2</v>
      </c>
      <c r="AB22" s="58">
        <f t="shared" si="4"/>
        <v>110.00385499435863</v>
      </c>
    </row>
    <row r="23" spans="2:28" x14ac:dyDescent="0.25">
      <c r="B23" s="47" t="s">
        <v>41</v>
      </c>
      <c r="C23" s="48">
        <v>2.1379999999999999</v>
      </c>
      <c r="D23" s="49">
        <v>0.88306828811973803</v>
      </c>
      <c r="E23" s="49">
        <v>0.11693171188026193</v>
      </c>
      <c r="F23" s="49">
        <v>0.13921083474410731</v>
      </c>
      <c r="G23" s="50">
        <v>1.091</v>
      </c>
      <c r="H23" s="50">
        <v>2.4369999999999998</v>
      </c>
      <c r="I23" s="51">
        <v>16.507000000000001</v>
      </c>
      <c r="J23" s="49">
        <v>0.8289816441509662</v>
      </c>
      <c r="K23" s="49">
        <f t="shared" si="5"/>
        <v>0.1710183558490338</v>
      </c>
      <c r="L23" s="16">
        <v>15.358000000000001</v>
      </c>
      <c r="M23" s="17">
        <f t="shared" si="0"/>
        <v>0.13921083474410728</v>
      </c>
      <c r="N23" s="59"/>
      <c r="P23" s="53">
        <f t="shared" si="1"/>
        <v>2138</v>
      </c>
      <c r="Q23" s="43">
        <f t="shared" si="14"/>
        <v>1888</v>
      </c>
      <c r="R23" s="44">
        <f t="shared" si="2"/>
        <v>250</v>
      </c>
      <c r="S23" s="54">
        <f t="shared" si="6"/>
        <v>15358</v>
      </c>
      <c r="T23" s="55">
        <f t="shared" si="3"/>
        <v>0.13921083474410731</v>
      </c>
      <c r="U23" s="46">
        <f t="shared" si="7"/>
        <v>1.091</v>
      </c>
      <c r="V23" s="43">
        <f t="shared" si="8"/>
        <v>16507</v>
      </c>
      <c r="W23" s="43">
        <f t="shared" si="9"/>
        <v>13684</v>
      </c>
      <c r="X23" s="44">
        <f t="shared" si="10"/>
        <v>2823.0000000000009</v>
      </c>
      <c r="Y23" s="18">
        <f t="shared" si="11"/>
        <v>0.11693171188026193</v>
      </c>
      <c r="Z23" s="56">
        <f t="shared" si="12"/>
        <v>0.1710183558490338</v>
      </c>
      <c r="AA23" s="57">
        <f t="shared" si="13"/>
        <v>0.14397503386464786</v>
      </c>
      <c r="AB23" s="58">
        <f t="shared" si="4"/>
        <v>1290.7159453051422</v>
      </c>
    </row>
    <row r="24" spans="2:28" x14ac:dyDescent="0.25">
      <c r="B24" s="47" t="s">
        <v>42</v>
      </c>
      <c r="C24" s="48">
        <v>0.39</v>
      </c>
      <c r="D24" s="49">
        <v>0</v>
      </c>
      <c r="E24" s="49">
        <v>1</v>
      </c>
      <c r="F24" s="49">
        <v>0.10056730273336771</v>
      </c>
      <c r="G24" s="50">
        <v>0.108</v>
      </c>
      <c r="H24" s="50" t="s">
        <v>21</v>
      </c>
      <c r="I24" s="51">
        <v>3.8069999999999999</v>
      </c>
      <c r="J24" s="49">
        <v>0</v>
      </c>
      <c r="K24" s="49">
        <f t="shared" si="5"/>
        <v>1</v>
      </c>
      <c r="L24" s="16">
        <v>3.8780000000000001</v>
      </c>
      <c r="M24" s="17">
        <f t="shared" si="0"/>
        <v>0.10056730273336771</v>
      </c>
      <c r="N24" s="59"/>
      <c r="P24" s="53">
        <f t="shared" si="1"/>
        <v>390</v>
      </c>
      <c r="Q24" s="43">
        <f t="shared" si="14"/>
        <v>0</v>
      </c>
      <c r="R24" s="44">
        <f t="shared" si="2"/>
        <v>390</v>
      </c>
      <c r="S24" s="54">
        <f t="shared" si="6"/>
        <v>3878</v>
      </c>
      <c r="T24" s="55">
        <f t="shared" si="3"/>
        <v>0.10056730273336771</v>
      </c>
      <c r="U24" s="46">
        <f t="shared" si="7"/>
        <v>0.108</v>
      </c>
      <c r="V24" s="43">
        <f t="shared" si="8"/>
        <v>3807</v>
      </c>
      <c r="W24" s="43" t="s">
        <v>21</v>
      </c>
      <c r="X24" s="44">
        <f t="shared" si="10"/>
        <v>3807</v>
      </c>
      <c r="Y24" s="18">
        <f t="shared" si="11"/>
        <v>1</v>
      </c>
      <c r="Z24" s="56">
        <f t="shared" si="12"/>
        <v>1</v>
      </c>
      <c r="AA24" s="57">
        <f t="shared" si="13"/>
        <v>1</v>
      </c>
      <c r="AB24" s="58">
        <f t="shared" si="4"/>
        <v>1468.1000000000001</v>
      </c>
    </row>
    <row r="25" spans="2:28" x14ac:dyDescent="0.25">
      <c r="B25" s="60" t="s">
        <v>43</v>
      </c>
      <c r="C25" s="48">
        <v>7.3559999999999999</v>
      </c>
      <c r="D25" s="49">
        <v>0.94725394235997828</v>
      </c>
      <c r="E25" s="49">
        <v>5.274605764002175E-2</v>
      </c>
      <c r="F25" s="49">
        <v>0.20485685641082768</v>
      </c>
      <c r="G25" s="50">
        <v>0.20050000000000001</v>
      </c>
      <c r="H25" s="50">
        <v>3.3969999999999998</v>
      </c>
      <c r="I25" s="51">
        <v>42.616999999999997</v>
      </c>
      <c r="J25" s="49">
        <v>0.91623061219701063</v>
      </c>
      <c r="K25" s="49">
        <f t="shared" si="5"/>
        <v>8.376938780298937E-2</v>
      </c>
      <c r="L25" s="16">
        <v>35.908000000000001</v>
      </c>
      <c r="M25" s="17">
        <f t="shared" si="0"/>
        <v>0.20485685641082765</v>
      </c>
      <c r="N25" s="59"/>
      <c r="P25" s="53">
        <f t="shared" si="1"/>
        <v>7356</v>
      </c>
      <c r="Q25" s="43">
        <f t="shared" si="14"/>
        <v>6968</v>
      </c>
      <c r="R25" s="44">
        <f t="shared" si="2"/>
        <v>388</v>
      </c>
      <c r="S25" s="54">
        <f t="shared" si="6"/>
        <v>35908</v>
      </c>
      <c r="T25" s="55">
        <f t="shared" si="3"/>
        <v>0.20485685641082768</v>
      </c>
      <c r="U25" s="46">
        <f t="shared" si="7"/>
        <v>0.20050000000000001</v>
      </c>
      <c r="V25" s="43">
        <f t="shared" si="8"/>
        <v>42617</v>
      </c>
      <c r="W25" s="43">
        <f t="shared" si="9"/>
        <v>39047</v>
      </c>
      <c r="X25" s="44">
        <f t="shared" si="10"/>
        <v>3569.9999999999982</v>
      </c>
      <c r="Y25" s="18">
        <f t="shared" si="11"/>
        <v>5.274605764002175E-2</v>
      </c>
      <c r="Z25" s="56">
        <f t="shared" si="12"/>
        <v>8.376938780298937E-2</v>
      </c>
      <c r="AA25" s="57">
        <f t="shared" si="13"/>
        <v>6.8257722721505557E-2</v>
      </c>
      <c r="AB25" s="58">
        <f t="shared" si="4"/>
        <v>1746.9428868125044</v>
      </c>
    </row>
    <row r="26" spans="2:28" x14ac:dyDescent="0.25">
      <c r="B26" s="60" t="s">
        <v>44</v>
      </c>
      <c r="C26" s="48">
        <v>0</v>
      </c>
      <c r="D26" s="49"/>
      <c r="E26" s="49"/>
      <c r="F26" s="49">
        <v>0</v>
      </c>
      <c r="G26" s="50">
        <v>0</v>
      </c>
      <c r="H26" s="50">
        <v>0</v>
      </c>
      <c r="I26" s="51">
        <v>0</v>
      </c>
      <c r="J26" s="49"/>
      <c r="K26" s="49">
        <f t="shared" si="5"/>
        <v>1</v>
      </c>
      <c r="L26" s="16">
        <v>2.1669999999999998</v>
      </c>
      <c r="M26" s="17">
        <f t="shared" si="0"/>
        <v>0</v>
      </c>
      <c r="N26" s="59"/>
      <c r="P26" s="53">
        <f t="shared" si="1"/>
        <v>0</v>
      </c>
      <c r="Q26" s="43"/>
      <c r="R26" s="44"/>
      <c r="S26" s="54">
        <f t="shared" si="6"/>
        <v>2167</v>
      </c>
      <c r="T26" s="55">
        <f t="shared" si="3"/>
        <v>0</v>
      </c>
      <c r="U26" s="46">
        <f t="shared" si="7"/>
        <v>0</v>
      </c>
      <c r="V26" s="43">
        <f t="shared" si="8"/>
        <v>0</v>
      </c>
      <c r="W26" s="43">
        <v>0</v>
      </c>
      <c r="X26" s="44">
        <f t="shared" si="10"/>
        <v>0</v>
      </c>
      <c r="Y26" s="18"/>
      <c r="Z26" s="56"/>
      <c r="AA26" s="57"/>
      <c r="AB26" s="58">
        <f t="shared" si="4"/>
        <v>0</v>
      </c>
    </row>
    <row r="27" spans="2:28" x14ac:dyDescent="0.25">
      <c r="B27" s="60" t="s">
        <v>45</v>
      </c>
      <c r="C27" s="48">
        <v>36.384</v>
      </c>
      <c r="D27" s="49"/>
      <c r="E27" s="49">
        <v>1</v>
      </c>
      <c r="F27" s="49">
        <v>0.32055822804884493</v>
      </c>
      <c r="G27" s="50">
        <v>9.2509999999999994</v>
      </c>
      <c r="H27" s="50">
        <v>19.18</v>
      </c>
      <c r="I27" s="51">
        <v>223.017</v>
      </c>
      <c r="J27" s="49"/>
      <c r="K27" s="49">
        <f t="shared" si="5"/>
        <v>1</v>
      </c>
      <c r="L27" s="16">
        <v>113.502</v>
      </c>
      <c r="M27" s="17">
        <f t="shared" si="0"/>
        <v>0.32055822804884498</v>
      </c>
      <c r="N27" s="59"/>
      <c r="P27" s="53">
        <f t="shared" si="1"/>
        <v>36384</v>
      </c>
      <c r="Q27" s="43">
        <f t="shared" ref="Q27:Q28" si="15">P27-R27</f>
        <v>0</v>
      </c>
      <c r="R27" s="44">
        <f t="shared" ref="R27:R39" si="16">P27*E27</f>
        <v>36384</v>
      </c>
      <c r="S27" s="54">
        <f t="shared" si="6"/>
        <v>113502</v>
      </c>
      <c r="T27" s="55">
        <f t="shared" si="3"/>
        <v>0.32055822804884493</v>
      </c>
      <c r="U27" s="46">
        <f t="shared" si="7"/>
        <v>9.2509999999999994</v>
      </c>
      <c r="V27" s="43">
        <f t="shared" si="8"/>
        <v>223017</v>
      </c>
      <c r="W27" s="43" t="s">
        <v>21</v>
      </c>
      <c r="X27" s="44">
        <f t="shared" si="10"/>
        <v>223017</v>
      </c>
      <c r="Y27" s="18">
        <f t="shared" si="11"/>
        <v>1</v>
      </c>
      <c r="Z27" s="56">
        <f t="shared" si="12"/>
        <v>1</v>
      </c>
      <c r="AA27" s="57">
        <f>50%-10%</f>
        <v>0.4</v>
      </c>
      <c r="AB27" s="58">
        <f t="shared" si="4"/>
        <v>52446.998720000003</v>
      </c>
    </row>
    <row r="28" spans="2:28" x14ac:dyDescent="0.25">
      <c r="B28" s="60" t="s">
        <v>46</v>
      </c>
      <c r="C28" s="48">
        <v>9.1039999999999992</v>
      </c>
      <c r="D28" s="49"/>
      <c r="E28" s="49">
        <v>1</v>
      </c>
      <c r="F28" s="49">
        <v>0.13196306657583093</v>
      </c>
      <c r="G28" s="50">
        <v>2.9119999999999999</v>
      </c>
      <c r="H28" s="50">
        <v>8.7810000000000006</v>
      </c>
      <c r="I28" s="51">
        <v>98.441000000000003</v>
      </c>
      <c r="J28" s="49"/>
      <c r="K28" s="49">
        <f t="shared" si="5"/>
        <v>1</v>
      </c>
      <c r="L28" s="16">
        <v>68.989000000000004</v>
      </c>
      <c r="M28" s="17">
        <f t="shared" si="0"/>
        <v>0.1319630665758309</v>
      </c>
      <c r="N28" s="59"/>
      <c r="P28" s="53">
        <f t="shared" si="1"/>
        <v>9104</v>
      </c>
      <c r="Q28" s="43">
        <f t="shared" si="15"/>
        <v>0</v>
      </c>
      <c r="R28" s="44">
        <f t="shared" si="16"/>
        <v>9104</v>
      </c>
      <c r="S28" s="54">
        <f t="shared" si="6"/>
        <v>68989</v>
      </c>
      <c r="T28" s="55">
        <f t="shared" si="3"/>
        <v>0.13196306657583093</v>
      </c>
      <c r="U28" s="46">
        <f t="shared" si="7"/>
        <v>2.9119999999999999</v>
      </c>
      <c r="V28" s="43">
        <f t="shared" si="8"/>
        <v>98441</v>
      </c>
      <c r="W28" s="43">
        <f t="shared" si="9"/>
        <v>0</v>
      </c>
      <c r="X28" s="44">
        <f t="shared" si="10"/>
        <v>98441</v>
      </c>
      <c r="Y28" s="18">
        <f t="shared" si="11"/>
        <v>1</v>
      </c>
      <c r="Z28" s="56">
        <f t="shared" si="12"/>
        <v>1</v>
      </c>
      <c r="AA28" s="57">
        <f>50%-5%</f>
        <v>0.45</v>
      </c>
      <c r="AB28" s="58">
        <f t="shared" si="4"/>
        <v>21870.545879999994</v>
      </c>
    </row>
    <row r="29" spans="2:28" x14ac:dyDescent="0.25">
      <c r="B29" s="60" t="s">
        <v>47</v>
      </c>
      <c r="C29" s="48">
        <v>26.079000000000001</v>
      </c>
      <c r="D29" s="49">
        <v>0.78764523179569768</v>
      </c>
      <c r="E29" s="49">
        <v>0.21235476820430232</v>
      </c>
      <c r="F29" s="49">
        <v>0.17188900606380175</v>
      </c>
      <c r="G29" s="50">
        <v>8.6310000000000002</v>
      </c>
      <c r="H29" s="50">
        <v>24.780999999999999</v>
      </c>
      <c r="I29" s="51">
        <v>258.37700000000001</v>
      </c>
      <c r="J29" s="49">
        <v>0.63548226041791644</v>
      </c>
      <c r="K29" s="49">
        <f t="shared" si="5"/>
        <v>0.36451773958208356</v>
      </c>
      <c r="L29" s="16">
        <v>151.72</v>
      </c>
      <c r="M29" s="17">
        <f t="shared" si="0"/>
        <v>0.17188900606380175</v>
      </c>
      <c r="N29" s="59"/>
      <c r="P29" s="53">
        <f t="shared" si="1"/>
        <v>26079</v>
      </c>
      <c r="Q29" s="43">
        <f t="shared" si="14"/>
        <v>20541</v>
      </c>
      <c r="R29" s="44">
        <f t="shared" si="16"/>
        <v>5538</v>
      </c>
      <c r="S29" s="54">
        <f t="shared" si="6"/>
        <v>151720</v>
      </c>
      <c r="T29" s="55">
        <f t="shared" si="3"/>
        <v>0.17188900606380175</v>
      </c>
      <c r="U29" s="46">
        <f t="shared" si="7"/>
        <v>8.6310000000000002</v>
      </c>
      <c r="V29" s="43">
        <f t="shared" si="8"/>
        <v>258377</v>
      </c>
      <c r="W29" s="43">
        <f t="shared" si="9"/>
        <v>164194</v>
      </c>
      <c r="X29" s="44">
        <f t="shared" si="10"/>
        <v>94183</v>
      </c>
      <c r="Y29" s="18">
        <f t="shared" si="11"/>
        <v>0.21235476820430232</v>
      </c>
      <c r="Z29" s="56">
        <f t="shared" si="12"/>
        <v>0.36451773958208356</v>
      </c>
      <c r="AA29" s="57">
        <f t="shared" si="13"/>
        <v>0.28843625389319294</v>
      </c>
      <c r="AB29" s="58">
        <f t="shared" si="4"/>
        <v>37633.674307662732</v>
      </c>
    </row>
    <row r="30" spans="2:28" x14ac:dyDescent="0.25">
      <c r="B30" s="60" t="s">
        <v>48</v>
      </c>
      <c r="C30" s="48">
        <v>5.53</v>
      </c>
      <c r="D30" s="49">
        <v>0.73001808318264017</v>
      </c>
      <c r="E30" s="49">
        <v>0.26998191681735983</v>
      </c>
      <c r="F30" s="49">
        <v>0.11014400382416795</v>
      </c>
      <c r="G30" s="50">
        <v>1.296</v>
      </c>
      <c r="H30" s="50">
        <v>5.04</v>
      </c>
      <c r="I30" s="51">
        <v>61.018000000000001</v>
      </c>
      <c r="J30" s="49">
        <v>0.567242453046642</v>
      </c>
      <c r="K30" s="49">
        <f t="shared" si="5"/>
        <v>0.432757546953358</v>
      </c>
      <c r="L30" s="16">
        <v>50.207000000000001</v>
      </c>
      <c r="M30" s="17">
        <f t="shared" si="0"/>
        <v>0.11014400382416795</v>
      </c>
      <c r="N30" s="59"/>
      <c r="P30" s="53">
        <f t="shared" si="1"/>
        <v>5530</v>
      </c>
      <c r="Q30" s="43">
        <f t="shared" si="14"/>
        <v>4037</v>
      </c>
      <c r="R30" s="44">
        <f t="shared" si="16"/>
        <v>1493</v>
      </c>
      <c r="S30" s="54">
        <f t="shared" si="6"/>
        <v>50207</v>
      </c>
      <c r="T30" s="55">
        <f t="shared" si="3"/>
        <v>0.11014400382416795</v>
      </c>
      <c r="U30" s="46">
        <f t="shared" si="7"/>
        <v>1.296</v>
      </c>
      <c r="V30" s="43">
        <f t="shared" si="8"/>
        <v>61018</v>
      </c>
      <c r="W30" s="43">
        <f t="shared" si="9"/>
        <v>34612</v>
      </c>
      <c r="X30" s="44">
        <f t="shared" si="10"/>
        <v>26406</v>
      </c>
      <c r="Y30" s="18">
        <f t="shared" si="11"/>
        <v>0.26998191681735983</v>
      </c>
      <c r="Z30" s="56">
        <f t="shared" si="12"/>
        <v>0.43275754695335805</v>
      </c>
      <c r="AA30" s="57">
        <f>(Y30+Z30)/2-10%</f>
        <v>0.25136973188535894</v>
      </c>
      <c r="AB30" s="58">
        <f t="shared" si="4"/>
        <v>7178.7927619944003</v>
      </c>
    </row>
    <row r="31" spans="2:28" x14ac:dyDescent="0.25">
      <c r="B31" s="60" t="s">
        <v>49</v>
      </c>
      <c r="C31" s="48">
        <v>6.26</v>
      </c>
      <c r="D31" s="49">
        <v>0.86214057507987218</v>
      </c>
      <c r="E31" s="49">
        <v>0.13785942492012779</v>
      </c>
      <c r="F31" s="49">
        <v>0.10790126861555432</v>
      </c>
      <c r="G31" s="50">
        <v>4.4589999999999996</v>
      </c>
      <c r="H31" s="50">
        <v>10.349</v>
      </c>
      <c r="I31" s="51">
        <v>66.313999999999993</v>
      </c>
      <c r="J31" s="49">
        <v>0.82426033718370173</v>
      </c>
      <c r="K31" s="49">
        <f t="shared" si="5"/>
        <v>0.17573966281629827</v>
      </c>
      <c r="L31" s="16">
        <v>58.015999999999998</v>
      </c>
      <c r="M31" s="17">
        <f t="shared" si="0"/>
        <v>0.10790126861555432</v>
      </c>
      <c r="N31" s="59"/>
      <c r="P31" s="53">
        <f t="shared" si="1"/>
        <v>6260</v>
      </c>
      <c r="Q31" s="43">
        <f t="shared" si="14"/>
        <v>5397</v>
      </c>
      <c r="R31" s="44">
        <f t="shared" si="16"/>
        <v>863</v>
      </c>
      <c r="S31" s="54">
        <f t="shared" si="6"/>
        <v>58016</v>
      </c>
      <c r="T31" s="55">
        <f t="shared" si="3"/>
        <v>0.10790126861555432</v>
      </c>
      <c r="U31" s="46">
        <f t="shared" si="7"/>
        <v>4.4589999999999996</v>
      </c>
      <c r="V31" s="43">
        <f t="shared" si="8"/>
        <v>66314</v>
      </c>
      <c r="W31" s="43">
        <f t="shared" si="9"/>
        <v>54660</v>
      </c>
      <c r="X31" s="44">
        <f t="shared" si="10"/>
        <v>11654.000000000004</v>
      </c>
      <c r="Y31" s="18">
        <f t="shared" si="11"/>
        <v>0.13785942492012779</v>
      </c>
      <c r="Z31" s="56">
        <f t="shared" si="12"/>
        <v>0.17573966281629827</v>
      </c>
      <c r="AA31" s="57">
        <f t="shared" si="13"/>
        <v>0.15679954386821304</v>
      </c>
      <c r="AB31" s="58">
        <f t="shared" si="4"/>
        <v>5160.1745604025537</v>
      </c>
    </row>
    <row r="32" spans="2:28" x14ac:dyDescent="0.25">
      <c r="B32" s="60" t="s">
        <v>50</v>
      </c>
      <c r="C32" s="48">
        <v>1.0249999999999999</v>
      </c>
      <c r="D32" s="49">
        <v>0.76097560975609757</v>
      </c>
      <c r="E32" s="49">
        <v>0.23902439024390243</v>
      </c>
      <c r="F32" s="49">
        <v>6.2496189256752634E-2</v>
      </c>
      <c r="G32" s="50">
        <v>0.32700000000000001</v>
      </c>
      <c r="H32" s="50">
        <v>0.83199999999999996</v>
      </c>
      <c r="I32" s="51">
        <v>11.23</v>
      </c>
      <c r="J32" s="49">
        <v>0.61308993766696351</v>
      </c>
      <c r="K32" s="49">
        <f t="shared" si="5"/>
        <v>0.38691006233303649</v>
      </c>
      <c r="L32" s="16">
        <v>16.401</v>
      </c>
      <c r="M32" s="17">
        <f t="shared" si="0"/>
        <v>6.2496189256752634E-2</v>
      </c>
      <c r="N32" s="59"/>
      <c r="P32" s="53">
        <f t="shared" si="1"/>
        <v>1025</v>
      </c>
      <c r="Q32" s="43">
        <f t="shared" si="14"/>
        <v>780</v>
      </c>
      <c r="R32" s="44">
        <f t="shared" si="16"/>
        <v>245</v>
      </c>
      <c r="S32" s="54">
        <f t="shared" si="6"/>
        <v>16401</v>
      </c>
      <c r="T32" s="55">
        <f t="shared" si="3"/>
        <v>6.2496189256752634E-2</v>
      </c>
      <c r="U32" s="46">
        <f t="shared" si="7"/>
        <v>0.32700000000000001</v>
      </c>
      <c r="V32" s="43">
        <f t="shared" si="8"/>
        <v>11230</v>
      </c>
      <c r="W32" s="43">
        <f t="shared" si="9"/>
        <v>6885</v>
      </c>
      <c r="X32" s="44">
        <f t="shared" si="10"/>
        <v>4345</v>
      </c>
      <c r="Y32" s="18">
        <f t="shared" si="11"/>
        <v>0.23902439024390243</v>
      </c>
      <c r="Z32" s="56">
        <f t="shared" si="12"/>
        <v>0.38691006233303649</v>
      </c>
      <c r="AA32" s="57">
        <f t="shared" si="13"/>
        <v>0.31296722628846946</v>
      </c>
      <c r="AB32" s="58">
        <f t="shared" si="4"/>
        <v>1729.537846659282</v>
      </c>
    </row>
    <row r="33" spans="2:28" x14ac:dyDescent="0.25">
      <c r="B33" s="60" t="s">
        <v>51</v>
      </c>
      <c r="C33" s="48">
        <v>5.0129999999999999</v>
      </c>
      <c r="D33" s="49">
        <v>0.69140235387991222</v>
      </c>
      <c r="E33" s="49">
        <v>0.30859764612008778</v>
      </c>
      <c r="F33" s="49">
        <v>0.19166507359969412</v>
      </c>
      <c r="G33" s="50">
        <v>1.585</v>
      </c>
      <c r="H33" s="50">
        <v>9.4039999999999999</v>
      </c>
      <c r="I33" s="51">
        <v>18.667999999999999</v>
      </c>
      <c r="J33" s="49">
        <v>0.81958431540604237</v>
      </c>
      <c r="K33" s="49">
        <f t="shared" si="5"/>
        <v>0.18041568459395763</v>
      </c>
      <c r="L33" s="16">
        <v>26.155000000000001</v>
      </c>
      <c r="M33" s="17">
        <f t="shared" si="0"/>
        <v>0.19166507359969412</v>
      </c>
      <c r="N33" s="59"/>
      <c r="P33" s="53">
        <f t="shared" si="1"/>
        <v>5013</v>
      </c>
      <c r="Q33" s="43">
        <f t="shared" si="14"/>
        <v>3466</v>
      </c>
      <c r="R33" s="44">
        <f t="shared" si="16"/>
        <v>1547</v>
      </c>
      <c r="S33" s="54">
        <f t="shared" si="6"/>
        <v>26155</v>
      </c>
      <c r="T33" s="55">
        <f t="shared" si="3"/>
        <v>0.19166507359969412</v>
      </c>
      <c r="U33" s="46">
        <f t="shared" si="7"/>
        <v>1.585</v>
      </c>
      <c r="V33" s="43">
        <f t="shared" si="8"/>
        <v>18668</v>
      </c>
      <c r="W33" s="43">
        <f t="shared" si="9"/>
        <v>15300</v>
      </c>
      <c r="X33" s="44">
        <f t="shared" si="10"/>
        <v>3368.0000000000009</v>
      </c>
      <c r="Y33" s="18">
        <f t="shared" si="11"/>
        <v>0.30859764612008778</v>
      </c>
      <c r="Z33" s="56">
        <f t="shared" si="12"/>
        <v>0.18041568459395763</v>
      </c>
      <c r="AA33" s="57">
        <f t="shared" si="13"/>
        <v>0.2445066653570227</v>
      </c>
      <c r="AB33" s="58">
        <f t="shared" si="4"/>
        <v>3324.9549901053069</v>
      </c>
    </row>
    <row r="34" spans="2:28" x14ac:dyDescent="0.25">
      <c r="B34" s="60" t="s">
        <v>52</v>
      </c>
      <c r="C34" s="48">
        <v>25.809000000000001</v>
      </c>
      <c r="D34" s="49">
        <v>0.68355999845015303</v>
      </c>
      <c r="E34" s="49">
        <v>0.31644000154984697</v>
      </c>
      <c r="F34" s="49">
        <v>0.35814992645222171</v>
      </c>
      <c r="G34" s="50">
        <v>5.7869999999999999</v>
      </c>
      <c r="H34" s="50">
        <v>15.698</v>
      </c>
      <c r="I34" s="51">
        <v>240.20400000000001</v>
      </c>
      <c r="J34" s="49">
        <v>0.50166941433115186</v>
      </c>
      <c r="K34" s="49">
        <f t="shared" si="5"/>
        <v>0.49833058566884814</v>
      </c>
      <c r="L34" s="16">
        <v>72.061999999999998</v>
      </c>
      <c r="M34" s="17">
        <f t="shared" si="0"/>
        <v>0.35814992645222171</v>
      </c>
      <c r="N34" s="59"/>
      <c r="P34" s="53">
        <f t="shared" si="1"/>
        <v>25809</v>
      </c>
      <c r="Q34" s="43">
        <f t="shared" si="14"/>
        <v>17642</v>
      </c>
      <c r="R34" s="44">
        <f t="shared" si="16"/>
        <v>8167.0000000000009</v>
      </c>
      <c r="S34" s="54">
        <f t="shared" si="6"/>
        <v>72062</v>
      </c>
      <c r="T34" s="55">
        <f t="shared" si="3"/>
        <v>0.35814992645222171</v>
      </c>
      <c r="U34" s="46">
        <f t="shared" si="7"/>
        <v>5.7869999999999999</v>
      </c>
      <c r="V34" s="43">
        <f t="shared" si="8"/>
        <v>240204</v>
      </c>
      <c r="W34" s="43">
        <f t="shared" si="9"/>
        <v>120503</v>
      </c>
      <c r="X34" s="44">
        <f t="shared" si="10"/>
        <v>119701</v>
      </c>
      <c r="Y34" s="18">
        <f t="shared" si="11"/>
        <v>0.31644000154984697</v>
      </c>
      <c r="Z34" s="56">
        <f t="shared" si="12"/>
        <v>0.49833058566884814</v>
      </c>
      <c r="AA34" s="57">
        <f t="shared" si="13"/>
        <v>0.40738529360934755</v>
      </c>
      <c r="AB34" s="58">
        <f t="shared" si="4"/>
        <v>50264.648468983018</v>
      </c>
    </row>
    <row r="35" spans="2:28" x14ac:dyDescent="0.25">
      <c r="B35" s="60" t="s">
        <v>53</v>
      </c>
      <c r="C35" s="48">
        <v>14.343999999999999</v>
      </c>
      <c r="D35" s="49">
        <v>0.60952314556609033</v>
      </c>
      <c r="E35" s="49">
        <v>0.39047685443390967</v>
      </c>
      <c r="F35" s="49">
        <v>0.10491745722916682</v>
      </c>
      <c r="G35" s="50">
        <v>4.5199999999999996</v>
      </c>
      <c r="H35" s="50">
        <v>8.8279999999999994</v>
      </c>
      <c r="I35" s="51">
        <v>161.374</v>
      </c>
      <c r="J35" s="49">
        <v>0.50019210033834449</v>
      </c>
      <c r="K35" s="49">
        <f t="shared" si="5"/>
        <v>0.49980789966165551</v>
      </c>
      <c r="L35" s="16">
        <v>136.71700000000001</v>
      </c>
      <c r="M35" s="17">
        <f t="shared" si="0"/>
        <v>0.1049174572291668</v>
      </c>
      <c r="N35" s="59"/>
      <c r="P35" s="53">
        <f t="shared" si="1"/>
        <v>14344</v>
      </c>
      <c r="Q35" s="43">
        <f t="shared" si="14"/>
        <v>8743</v>
      </c>
      <c r="R35" s="44">
        <f t="shared" si="16"/>
        <v>5601</v>
      </c>
      <c r="S35" s="54">
        <f t="shared" si="6"/>
        <v>136717</v>
      </c>
      <c r="T35" s="55">
        <f t="shared" si="3"/>
        <v>0.10491745722916682</v>
      </c>
      <c r="U35" s="46">
        <f t="shared" si="7"/>
        <v>4.5199999999999996</v>
      </c>
      <c r="V35" s="43">
        <f t="shared" si="8"/>
        <v>161374</v>
      </c>
      <c r="W35" s="43">
        <f t="shared" si="9"/>
        <v>80718</v>
      </c>
      <c r="X35" s="44">
        <f t="shared" si="10"/>
        <v>80656</v>
      </c>
      <c r="Y35" s="18">
        <f t="shared" si="11"/>
        <v>0.39047685443390967</v>
      </c>
      <c r="Z35" s="56">
        <f t="shared" si="12"/>
        <v>0.49980789966165551</v>
      </c>
      <c r="AA35" s="57">
        <f t="shared" si="13"/>
        <v>0.44514237704778259</v>
      </c>
      <c r="AB35" s="58">
        <f t="shared" si="4"/>
        <v>30456.196295232243</v>
      </c>
    </row>
    <row r="36" spans="2:28" x14ac:dyDescent="0.25">
      <c r="B36" s="61" t="s">
        <v>54</v>
      </c>
      <c r="C36" s="48">
        <v>24.510999999999999</v>
      </c>
      <c r="D36" s="49">
        <v>8.9999999999999993E-3</v>
      </c>
      <c r="E36" s="49">
        <v>0.99099999999999999</v>
      </c>
      <c r="F36" s="49">
        <v>6.5246962053957649E-2</v>
      </c>
      <c r="G36" s="50">
        <v>5.7060000000000004</v>
      </c>
      <c r="H36" s="50">
        <v>7.3550000000000004</v>
      </c>
      <c r="I36" s="51">
        <v>155.88300000000001</v>
      </c>
      <c r="J36" s="49"/>
      <c r="K36" s="49">
        <f t="shared" si="5"/>
        <v>1</v>
      </c>
      <c r="L36" s="16">
        <v>375.66500000000002</v>
      </c>
      <c r="M36" s="62">
        <f t="shared" si="0"/>
        <v>6.5246962053957649E-2</v>
      </c>
      <c r="N36" s="59"/>
      <c r="P36" s="53">
        <f t="shared" si="1"/>
        <v>24511</v>
      </c>
      <c r="Q36" s="43">
        <f t="shared" si="14"/>
        <v>220.59900000000198</v>
      </c>
      <c r="R36" s="44">
        <f t="shared" si="16"/>
        <v>24290.400999999998</v>
      </c>
      <c r="S36" s="54">
        <f t="shared" si="6"/>
        <v>375665</v>
      </c>
      <c r="T36" s="55">
        <f t="shared" si="3"/>
        <v>6.5246962053957649E-2</v>
      </c>
      <c r="U36" s="46">
        <f t="shared" si="7"/>
        <v>5.7060000000000004</v>
      </c>
      <c r="V36" s="43">
        <f t="shared" si="8"/>
        <v>155883</v>
      </c>
      <c r="W36" s="43">
        <f t="shared" si="9"/>
        <v>0</v>
      </c>
      <c r="X36" s="44">
        <f t="shared" si="10"/>
        <v>155883</v>
      </c>
      <c r="Y36" s="18">
        <f t="shared" si="11"/>
        <v>0.99099999999999988</v>
      </c>
      <c r="Z36" s="56">
        <f t="shared" si="12"/>
        <v>1</v>
      </c>
      <c r="AA36" s="57">
        <f>65%-25%</f>
        <v>0.4</v>
      </c>
      <c r="AB36" s="58">
        <f t="shared" si="4"/>
        <v>34325.840000000004</v>
      </c>
    </row>
    <row r="37" spans="2:28" x14ac:dyDescent="0.25">
      <c r="B37" s="63" t="s">
        <v>55</v>
      </c>
      <c r="C37" s="12">
        <v>0.151</v>
      </c>
      <c r="D37" s="13">
        <v>1</v>
      </c>
      <c r="E37" s="13">
        <f>100%-D37</f>
        <v>0</v>
      </c>
      <c r="F37" s="13">
        <v>1.1372365903990101E-3</v>
      </c>
      <c r="G37" s="14"/>
      <c r="H37" s="14">
        <v>0.14799999999999999</v>
      </c>
      <c r="I37" s="15">
        <v>3.75</v>
      </c>
      <c r="J37" s="13">
        <v>1</v>
      </c>
      <c r="K37" s="13">
        <f>100%-J37</f>
        <v>0</v>
      </c>
      <c r="L37" s="16">
        <v>132.77799999999999</v>
      </c>
      <c r="M37" s="62">
        <f t="shared" si="0"/>
        <v>1.1372365903990118E-3</v>
      </c>
      <c r="N37" s="59"/>
      <c r="P37" s="19">
        <f t="shared" si="1"/>
        <v>151</v>
      </c>
      <c r="Q37" s="43">
        <f t="shared" si="14"/>
        <v>151</v>
      </c>
      <c r="R37" s="44">
        <f t="shared" si="16"/>
        <v>0</v>
      </c>
      <c r="S37" s="54">
        <f t="shared" si="6"/>
        <v>132778</v>
      </c>
      <c r="T37" s="55">
        <f t="shared" si="3"/>
        <v>1.1372365903990118E-3</v>
      </c>
      <c r="U37" s="46">
        <f t="shared" si="7"/>
        <v>0</v>
      </c>
      <c r="V37" s="43">
        <f t="shared" si="8"/>
        <v>3750</v>
      </c>
      <c r="W37" s="43">
        <f t="shared" si="9"/>
        <v>3750</v>
      </c>
      <c r="X37" s="44">
        <f t="shared" si="10"/>
        <v>0</v>
      </c>
      <c r="Y37" s="18"/>
      <c r="Z37" s="56"/>
      <c r="AA37" s="57"/>
      <c r="AB37" s="58"/>
    </row>
    <row r="38" spans="2:28" x14ac:dyDescent="0.25">
      <c r="B38" s="63" t="s">
        <v>56</v>
      </c>
      <c r="C38" s="64">
        <v>1.619</v>
      </c>
      <c r="D38" s="65">
        <v>0.81346510191476218</v>
      </c>
      <c r="E38" s="65">
        <f>100%-D38</f>
        <v>0.18653489808523782</v>
      </c>
      <c r="F38" s="65">
        <v>0.12671206073413163</v>
      </c>
      <c r="G38" s="66">
        <v>0.54500000000000004</v>
      </c>
      <c r="H38" s="66">
        <v>1.4650000000000001</v>
      </c>
      <c r="I38" s="67">
        <v>12.795</v>
      </c>
      <c r="J38" s="65">
        <v>0.888862837045721</v>
      </c>
      <c r="K38" s="13">
        <f t="shared" ref="K38:K39" si="17">100%-J38</f>
        <v>0.111137162954279</v>
      </c>
      <c r="L38" s="16">
        <v>12.776999999999999</v>
      </c>
      <c r="M38" s="62">
        <f t="shared" si="0"/>
        <v>0.12671206073413166</v>
      </c>
      <c r="N38" s="59"/>
      <c r="P38" s="68">
        <f t="shared" si="1"/>
        <v>1619</v>
      </c>
      <c r="Q38" s="43">
        <f t="shared" si="14"/>
        <v>1317</v>
      </c>
      <c r="R38" s="44">
        <f t="shared" si="16"/>
        <v>302.00000000000006</v>
      </c>
      <c r="S38" s="54">
        <f t="shared" si="6"/>
        <v>12777</v>
      </c>
      <c r="T38" s="55">
        <f t="shared" si="3"/>
        <v>0.12671206073413163</v>
      </c>
      <c r="U38" s="46"/>
      <c r="V38" s="43">
        <f t="shared" si="8"/>
        <v>12795</v>
      </c>
      <c r="W38" s="43">
        <f t="shared" si="9"/>
        <v>11373</v>
      </c>
      <c r="X38" s="44">
        <f t="shared" si="10"/>
        <v>1421.9999999999998</v>
      </c>
      <c r="Y38" s="18"/>
      <c r="Z38" s="56"/>
      <c r="AA38" s="57"/>
      <c r="AB38" s="58"/>
    </row>
    <row r="39" spans="2:28" x14ac:dyDescent="0.25">
      <c r="B39" s="63" t="s">
        <v>57</v>
      </c>
      <c r="C39" s="69">
        <v>7.3550000000000004</v>
      </c>
      <c r="D39" s="70">
        <v>0.40584636301835486</v>
      </c>
      <c r="E39" s="71">
        <v>0</v>
      </c>
      <c r="F39" s="72">
        <v>3.7754153983563722E-2</v>
      </c>
      <c r="G39" s="73">
        <v>5.1109999999999998</v>
      </c>
      <c r="H39" s="69"/>
      <c r="I39" s="74">
        <v>92.552999999999997</v>
      </c>
      <c r="J39" s="70">
        <v>0.26483204218123668</v>
      </c>
      <c r="K39" s="13">
        <f t="shared" si="17"/>
        <v>0.73516795781876332</v>
      </c>
      <c r="L39" s="75">
        <v>194.81299999999999</v>
      </c>
      <c r="M39" s="62">
        <f t="shared" si="0"/>
        <v>3.7754153983563729E-2</v>
      </c>
      <c r="N39" s="59"/>
      <c r="P39" s="76">
        <v>1432</v>
      </c>
      <c r="Q39" s="25">
        <f t="shared" si="14"/>
        <v>1432</v>
      </c>
      <c r="R39" s="44">
        <f t="shared" si="16"/>
        <v>0</v>
      </c>
      <c r="S39" s="54">
        <f t="shared" si="6"/>
        <v>194813</v>
      </c>
      <c r="T39" s="39">
        <f t="shared" si="3"/>
        <v>7.3506388177380358E-3</v>
      </c>
      <c r="U39" s="46">
        <f t="shared" si="7"/>
        <v>5.1109999999999998</v>
      </c>
      <c r="V39" s="43">
        <f t="shared" si="8"/>
        <v>92553</v>
      </c>
      <c r="W39" s="25">
        <f t="shared" si="9"/>
        <v>24511</v>
      </c>
      <c r="X39" s="44">
        <f t="shared" si="10"/>
        <v>68042</v>
      </c>
      <c r="Y39" s="18"/>
      <c r="Z39" s="56"/>
      <c r="AA39" s="57"/>
      <c r="AB39" s="58"/>
    </row>
    <row r="40" spans="2:28" ht="15" customHeight="1" x14ac:dyDescent="0.25">
      <c r="B40" s="77" t="s">
        <v>58</v>
      </c>
      <c r="C40" s="78"/>
      <c r="D40" s="78"/>
      <c r="E40" s="78"/>
      <c r="F40" s="78"/>
      <c r="G40" s="78"/>
      <c r="H40" s="78"/>
      <c r="I40" s="78"/>
      <c r="J40" s="78"/>
      <c r="K40" s="79" t="s">
        <v>59</v>
      </c>
      <c r="X40" s="80"/>
      <c r="Y40" s="22"/>
    </row>
    <row r="41" spans="2:28" x14ac:dyDescent="0.25">
      <c r="B41" s="81" t="s">
        <v>60</v>
      </c>
      <c r="C41" s="78"/>
      <c r="D41" s="78"/>
      <c r="E41" s="78"/>
      <c r="F41" s="78" t="s">
        <v>61</v>
      </c>
      <c r="G41" s="78"/>
      <c r="H41" s="78"/>
      <c r="I41" s="78"/>
      <c r="J41" s="78"/>
      <c r="K41" s="79" t="s">
        <v>62</v>
      </c>
    </row>
    <row r="43" spans="2:28" x14ac:dyDescent="0.25">
      <c r="B43" s="82" t="s">
        <v>63</v>
      </c>
      <c r="G43" s="83">
        <f>SUM(G10:G36)</f>
        <v>100.58550000000001</v>
      </c>
      <c r="J43" t="s">
        <v>64</v>
      </c>
      <c r="K43" s="18">
        <f>(C7-C8)/(L7-L8)</f>
        <v>0.15615076072713946</v>
      </c>
    </row>
    <row r="44" spans="2:28" x14ac:dyDescent="0.25">
      <c r="B44" s="82" t="s">
        <v>65</v>
      </c>
    </row>
    <row r="45" spans="2:28" x14ac:dyDescent="0.25">
      <c r="B45" s="82" t="s">
        <v>66</v>
      </c>
    </row>
    <row r="47" spans="2:28" ht="39" x14ac:dyDescent="0.25">
      <c r="C47" s="84" t="s">
        <v>67</v>
      </c>
      <c r="D47" s="84" t="s">
        <v>68</v>
      </c>
      <c r="E47" s="84" t="s">
        <v>69</v>
      </c>
      <c r="J47" s="84" t="s">
        <v>67</v>
      </c>
      <c r="K47" s="84" t="s">
        <v>68</v>
      </c>
      <c r="L47" s="84" t="s">
        <v>70</v>
      </c>
      <c r="O47" s="1" t="s">
        <v>71</v>
      </c>
      <c r="P47" s="85" t="s">
        <v>72</v>
      </c>
      <c r="Q47" s="1" t="s">
        <v>73</v>
      </c>
      <c r="R47" s="1" t="s">
        <v>74</v>
      </c>
      <c r="S47" s="1" t="s">
        <v>75</v>
      </c>
      <c r="T47" s="1" t="s">
        <v>76</v>
      </c>
      <c r="U47" s="86" t="s">
        <v>77</v>
      </c>
      <c r="V47" s="87" t="s">
        <v>78</v>
      </c>
      <c r="W47" s="86" t="s">
        <v>79</v>
      </c>
      <c r="X47" s="86" t="s">
        <v>80</v>
      </c>
    </row>
    <row r="48" spans="2:28" x14ac:dyDescent="0.25">
      <c r="B48" s="88" t="s">
        <v>18</v>
      </c>
      <c r="C48" s="89"/>
      <c r="D48" s="89"/>
      <c r="E48" s="90">
        <f>F5</f>
        <v>0.114</v>
      </c>
      <c r="H48" s="88" t="s">
        <v>18</v>
      </c>
      <c r="J48" s="91">
        <f>E48</f>
        <v>0.114</v>
      </c>
      <c r="K48" s="92"/>
      <c r="L48" s="92">
        <f>E48</f>
        <v>0.114</v>
      </c>
      <c r="O48" s="1"/>
      <c r="P48" s="85"/>
      <c r="Q48" s="1" t="s">
        <v>81</v>
      </c>
      <c r="R48" s="1" t="s">
        <v>81</v>
      </c>
      <c r="S48" s="1" t="s">
        <v>81</v>
      </c>
      <c r="T48" s="1" t="s">
        <v>82</v>
      </c>
      <c r="U48" s="1" t="s">
        <v>81</v>
      </c>
      <c r="V48" s="1" t="s">
        <v>81</v>
      </c>
      <c r="W48" s="1" t="s">
        <v>82</v>
      </c>
    </row>
    <row r="49" spans="1:24" x14ac:dyDescent="0.25">
      <c r="B49" s="88" t="s">
        <v>24</v>
      </c>
      <c r="C49" s="89"/>
      <c r="D49" s="89"/>
      <c r="E49" s="90">
        <f>+F7</f>
        <v>0.115</v>
      </c>
      <c r="H49" s="88" t="s">
        <v>83</v>
      </c>
      <c r="J49" s="91">
        <f>E49</f>
        <v>0.115</v>
      </c>
      <c r="K49" s="92"/>
      <c r="L49" s="92">
        <f>E49</f>
        <v>0.115</v>
      </c>
      <c r="O49" s="1"/>
      <c r="P49" s="85"/>
      <c r="Q49" s="1"/>
      <c r="R49" s="1"/>
      <c r="S49" s="1"/>
      <c r="T49" s="1"/>
      <c r="U49" s="1"/>
      <c r="V49" s="1"/>
      <c r="W49" s="1"/>
    </row>
    <row r="50" spans="1:24" x14ac:dyDescent="0.25">
      <c r="A50" s="90">
        <f>E50</f>
        <v>0.14456563442038914</v>
      </c>
      <c r="B50" s="88" t="s">
        <v>27</v>
      </c>
      <c r="C50" s="90">
        <f>D10*F10</f>
        <v>9.7966566182515744E-2</v>
      </c>
      <c r="D50" s="90">
        <f>E10*F10</f>
        <v>4.6599068237873381E-2</v>
      </c>
      <c r="E50" s="90">
        <f t="shared" ref="E50:E79" si="18">F10</f>
        <v>0.14456563442038914</v>
      </c>
      <c r="F50" s="93">
        <v>5.761877056348845E-2</v>
      </c>
      <c r="H50" s="91" t="s">
        <v>31</v>
      </c>
      <c r="J50" s="18">
        <v>0.45316796832031681</v>
      </c>
      <c r="K50" s="18"/>
      <c r="L50" s="91">
        <v>0.45316796832031681</v>
      </c>
      <c r="N50" s="59"/>
      <c r="P50" s="88" t="s">
        <v>27</v>
      </c>
      <c r="Q50" s="58">
        <f>C10*1000</f>
        <v>13188</v>
      </c>
      <c r="R50" s="58">
        <f>I10*1000*0.2778</f>
        <v>21390.6</v>
      </c>
      <c r="S50" s="58">
        <v>40719</v>
      </c>
      <c r="T50" s="94">
        <f t="shared" ref="T50:T65" si="19">(Q50+R50)/S50</f>
        <v>0.84920061887570908</v>
      </c>
      <c r="U50" s="58">
        <f>IF(T50&gt;=75%, S50, (Q50+R50)/0.75)</f>
        <v>40719</v>
      </c>
      <c r="V50" s="58">
        <f>S50-U50</f>
        <v>0</v>
      </c>
      <c r="W50" s="95">
        <f t="shared" ref="W50:W65" si="20">V50/U50</f>
        <v>0</v>
      </c>
      <c r="X50" s="96">
        <f t="shared" ref="X50:X65" si="21">Q50/R50</f>
        <v>0.6165324955821716</v>
      </c>
    </row>
    <row r="51" spans="1:24" x14ac:dyDescent="0.25">
      <c r="A51" s="90">
        <f t="shared" ref="A51:A79" si="22">E51</f>
        <v>9.3985662415045149E-2</v>
      </c>
      <c r="B51" s="88" t="s">
        <v>29</v>
      </c>
      <c r="C51" s="90">
        <f t="shared" ref="C51:C79" si="23">D11*F11</f>
        <v>8.965645656828973E-2</v>
      </c>
      <c r="D51" s="90">
        <f t="shared" ref="D51:D79" si="24">E11*F11</f>
        <v>4.3292058467554228E-3</v>
      </c>
      <c r="E51" s="90">
        <f t="shared" si="18"/>
        <v>9.3985662415045149E-2</v>
      </c>
      <c r="F51" s="93">
        <v>3.3649296993933965E-2</v>
      </c>
      <c r="H51" s="91" t="s">
        <v>52</v>
      </c>
      <c r="J51" s="18">
        <v>0.24481696317060309</v>
      </c>
      <c r="K51" s="18">
        <v>0.11333296328161861</v>
      </c>
      <c r="L51" s="91">
        <v>0.35814992645222171</v>
      </c>
      <c r="N51" s="59"/>
      <c r="P51" s="88" t="s">
        <v>29</v>
      </c>
      <c r="Q51" s="58">
        <f t="shared" ref="Q51:Q76" si="25">C11*1000</f>
        <v>4038.0000000000005</v>
      </c>
      <c r="R51" s="58">
        <f t="shared" ref="R51:R76" si="26">I11*1000*0.2778</f>
        <v>12349.0434</v>
      </c>
      <c r="S51" s="58">
        <v>30220.7</v>
      </c>
      <c r="T51" s="94">
        <f t="shared" si="19"/>
        <v>0.54224565943211112</v>
      </c>
      <c r="U51" s="58">
        <f t="shared" ref="U51:U76" si="27">IF(T51&gt;=75%, S51, (Q51+R51)/0.75)</f>
        <v>21849.391200000002</v>
      </c>
      <c r="V51" s="58">
        <f t="shared" ref="V51:V76" si="28">S51-U51</f>
        <v>8371.3087999999989</v>
      </c>
      <c r="W51" s="95">
        <f t="shared" si="20"/>
        <v>0.38313693609916227</v>
      </c>
      <c r="X51" s="96">
        <f t="shared" si="21"/>
        <v>0.32698889049171209</v>
      </c>
    </row>
    <row r="52" spans="1:24" x14ac:dyDescent="0.25">
      <c r="A52" s="90">
        <f t="shared" si="22"/>
        <v>0.13428571428571429</v>
      </c>
      <c r="B52" s="88" t="s">
        <v>30</v>
      </c>
      <c r="C52" s="90">
        <f t="shared" si="23"/>
        <v>9.2729483282674774E-2</v>
      </c>
      <c r="D52" s="90">
        <f t="shared" si="24"/>
        <v>4.1556231003039519E-2</v>
      </c>
      <c r="E52" s="90">
        <f t="shared" si="18"/>
        <v>0.13428571428571429</v>
      </c>
      <c r="F52" s="93">
        <v>-1.6364467670402866E-2</v>
      </c>
      <c r="H52" s="91" t="s">
        <v>45</v>
      </c>
      <c r="J52" s="18">
        <v>0</v>
      </c>
      <c r="K52" s="18">
        <v>0.32055822804884493</v>
      </c>
      <c r="L52" s="91">
        <v>0.32055822804884493</v>
      </c>
      <c r="N52" s="59"/>
      <c r="P52" s="88" t="s">
        <v>30</v>
      </c>
      <c r="Q52" s="58">
        <f t="shared" si="25"/>
        <v>11045</v>
      </c>
      <c r="R52" s="58">
        <f t="shared" si="26"/>
        <v>33308.775600000001</v>
      </c>
      <c r="S52" s="58">
        <v>110301.4</v>
      </c>
      <c r="T52" s="94">
        <f t="shared" si="19"/>
        <v>0.40211434850328287</v>
      </c>
      <c r="U52" s="58">
        <f t="shared" si="27"/>
        <v>59138.36746666667</v>
      </c>
      <c r="V52" s="58">
        <f t="shared" si="28"/>
        <v>51163.032533333324</v>
      </c>
      <c r="W52" s="95">
        <f t="shared" si="20"/>
        <v>0.8651411042445728</v>
      </c>
      <c r="X52" s="96">
        <f t="shared" si="21"/>
        <v>0.33159429612897567</v>
      </c>
    </row>
    <row r="53" spans="1:24" x14ac:dyDescent="0.25">
      <c r="A53" s="90">
        <f t="shared" si="22"/>
        <v>0.45316796832031681</v>
      </c>
      <c r="B53" s="88" t="s">
        <v>31</v>
      </c>
      <c r="C53" s="90">
        <f>E53</f>
        <v>0.45316796832031681</v>
      </c>
      <c r="D53" s="90"/>
      <c r="E53" s="90">
        <f t="shared" si="18"/>
        <v>0.45316796832031681</v>
      </c>
      <c r="F53" s="93">
        <v>4.5739496887995501E-2</v>
      </c>
      <c r="H53" s="91" t="s">
        <v>43</v>
      </c>
      <c r="J53" s="18">
        <v>0.19405146485462851</v>
      </c>
      <c r="K53" s="18">
        <v>1.0805391556199176E-2</v>
      </c>
      <c r="L53" s="91">
        <v>0.20485685641082768</v>
      </c>
      <c r="N53" s="59"/>
      <c r="P53" s="88" t="s">
        <v>31</v>
      </c>
      <c r="Q53" s="58">
        <f t="shared" si="25"/>
        <v>16479</v>
      </c>
      <c r="R53" s="58">
        <f t="shared" si="26"/>
        <v>30514.107599999999</v>
      </c>
      <c r="S53" s="58">
        <v>83183.100000000006</v>
      </c>
      <c r="T53" s="94">
        <f t="shared" si="19"/>
        <v>0.56493575738341084</v>
      </c>
      <c r="U53" s="58">
        <f t="shared" si="27"/>
        <v>62657.476800000004</v>
      </c>
      <c r="V53" s="58">
        <f t="shared" si="28"/>
        <v>20525.623200000002</v>
      </c>
      <c r="W53" s="95">
        <f t="shared" si="20"/>
        <v>0.32758457965865617</v>
      </c>
      <c r="X53" s="96">
        <f t="shared" si="21"/>
        <v>0.54004528711827704</v>
      </c>
    </row>
    <row r="54" spans="1:24" x14ac:dyDescent="0.25">
      <c r="A54" s="90">
        <f t="shared" si="22"/>
        <v>0.13002477787679925</v>
      </c>
      <c r="B54" s="88" t="s">
        <v>32</v>
      </c>
      <c r="C54" s="90">
        <f t="shared" si="23"/>
        <v>8.5188298360744277E-2</v>
      </c>
      <c r="D54" s="90">
        <f t="shared" si="24"/>
        <v>4.4836479516054982E-2</v>
      </c>
      <c r="E54" s="90">
        <f t="shared" si="18"/>
        <v>0.13002477787679925</v>
      </c>
      <c r="F54" s="93">
        <v>4.7954344900571766E-3</v>
      </c>
      <c r="H54" s="91" t="s">
        <v>40</v>
      </c>
      <c r="J54" s="18">
        <v>0.19069850960675166</v>
      </c>
      <c r="K54" s="18">
        <v>6.4643562578559893E-3</v>
      </c>
      <c r="L54" s="91">
        <v>0.19716286586460766</v>
      </c>
      <c r="N54" s="59"/>
      <c r="P54" s="88" t="s">
        <v>32</v>
      </c>
      <c r="Q54" s="58">
        <f t="shared" si="25"/>
        <v>77035</v>
      </c>
      <c r="R54" s="58">
        <f t="shared" si="26"/>
        <v>174642.85920000001</v>
      </c>
      <c r="S54" s="58">
        <v>332621.59999999998</v>
      </c>
      <c r="T54" s="94">
        <f t="shared" si="19"/>
        <v>0.75664917491828565</v>
      </c>
      <c r="U54" s="58">
        <f t="shared" si="27"/>
        <v>332621.59999999998</v>
      </c>
      <c r="V54" s="58">
        <f t="shared" si="28"/>
        <v>0</v>
      </c>
      <c r="W54" s="95">
        <f t="shared" si="20"/>
        <v>0</v>
      </c>
      <c r="X54" s="96">
        <f t="shared" si="21"/>
        <v>0.44110019930319599</v>
      </c>
    </row>
    <row r="55" spans="1:24" x14ac:dyDescent="0.25">
      <c r="A55" s="90">
        <f t="shared" si="22"/>
        <v>9.1923909329080761E-2</v>
      </c>
      <c r="B55" s="88" t="s">
        <v>33</v>
      </c>
      <c r="C55" s="90">
        <f t="shared" si="23"/>
        <v>8.3494703269165055E-2</v>
      </c>
      <c r="D55" s="90">
        <f t="shared" si="24"/>
        <v>8.4292060599157077E-3</v>
      </c>
      <c r="E55" s="90">
        <f t="shared" si="18"/>
        <v>9.1923909329080761E-2</v>
      </c>
      <c r="F55" s="93">
        <v>-1.5259319527151899E-2</v>
      </c>
      <c r="H55" s="91" t="s">
        <v>51</v>
      </c>
      <c r="J55" s="18">
        <v>0.13251768304339515</v>
      </c>
      <c r="K55" s="18">
        <v>5.9147390556298987E-2</v>
      </c>
      <c r="L55" s="91">
        <v>0.19166507359969412</v>
      </c>
      <c r="N55" s="59"/>
      <c r="P55" s="88" t="s">
        <v>33</v>
      </c>
      <c r="Q55" s="58">
        <f t="shared" si="25"/>
        <v>807</v>
      </c>
      <c r="R55" s="58">
        <f t="shared" si="26"/>
        <v>3197.4780000000001</v>
      </c>
      <c r="S55" s="58">
        <v>4986.0000000000009</v>
      </c>
      <c r="T55" s="94">
        <f t="shared" si="19"/>
        <v>0.80314440433212986</v>
      </c>
      <c r="U55" s="58">
        <f t="shared" si="27"/>
        <v>4986.0000000000009</v>
      </c>
      <c r="V55" s="58">
        <f t="shared" si="28"/>
        <v>0</v>
      </c>
      <c r="W55" s="95">
        <f t="shared" si="20"/>
        <v>0</v>
      </c>
      <c r="X55" s="96">
        <f t="shared" si="21"/>
        <v>0.25238641204098983</v>
      </c>
    </row>
    <row r="56" spans="1:24" x14ac:dyDescent="0.25">
      <c r="A56" s="90">
        <f t="shared" si="22"/>
        <v>6.3203739111960908E-2</v>
      </c>
      <c r="B56" s="88" t="s">
        <v>34</v>
      </c>
      <c r="C56" s="90">
        <f t="shared" si="23"/>
        <v>0</v>
      </c>
      <c r="D56" s="90">
        <f t="shared" si="24"/>
        <v>6.3203739111960908E-2</v>
      </c>
      <c r="E56" s="90">
        <f t="shared" si="18"/>
        <v>6.3203739111960908E-2</v>
      </c>
      <c r="F56" s="93">
        <v>7.1609427947732368E-3</v>
      </c>
      <c r="H56" s="91" t="s">
        <v>47</v>
      </c>
      <c r="J56" s="18">
        <v>0.1353875560242552</v>
      </c>
      <c r="K56" s="18">
        <v>3.6501450039546537E-2</v>
      </c>
      <c r="L56" s="91">
        <v>0.17188900606380175</v>
      </c>
      <c r="N56" s="59"/>
      <c r="P56" s="88" t="s">
        <v>34</v>
      </c>
      <c r="Q56" s="58">
        <f t="shared" si="25"/>
        <v>1785</v>
      </c>
      <c r="R56" s="58">
        <f t="shared" si="26"/>
        <v>3034.1315999999997</v>
      </c>
      <c r="S56" s="58">
        <v>5955.5000000000009</v>
      </c>
      <c r="T56" s="94">
        <f t="shared" si="19"/>
        <v>0.80919009319116764</v>
      </c>
      <c r="U56" s="58">
        <f t="shared" si="27"/>
        <v>5955.5000000000009</v>
      </c>
      <c r="V56" s="58">
        <f t="shared" si="28"/>
        <v>0</v>
      </c>
      <c r="W56" s="95">
        <f t="shared" si="20"/>
        <v>0</v>
      </c>
      <c r="X56" s="96">
        <f t="shared" si="21"/>
        <v>0.5883067168213798</v>
      </c>
    </row>
    <row r="57" spans="1:24" x14ac:dyDescent="0.25">
      <c r="A57" s="90">
        <f t="shared" si="22"/>
        <v>3.0033406665037073E-2</v>
      </c>
      <c r="B57" s="88" t="s">
        <v>35</v>
      </c>
      <c r="C57" s="90">
        <f t="shared" si="23"/>
        <v>3.0310437545832312E-3</v>
      </c>
      <c r="D57" s="90">
        <f t="shared" si="24"/>
        <v>2.7002362910453839E-2</v>
      </c>
      <c r="E57" s="90">
        <f t="shared" si="18"/>
        <v>3.0033406665037073E-2</v>
      </c>
      <c r="F57" s="93">
        <v>1.2760544798580971E-2</v>
      </c>
      <c r="H57" s="91" t="s">
        <v>27</v>
      </c>
      <c r="J57" s="18">
        <v>9.7966566182515744E-2</v>
      </c>
      <c r="K57" s="18">
        <v>4.6599068237873381E-2</v>
      </c>
      <c r="L57" s="91">
        <v>0.14456563442038914</v>
      </c>
      <c r="N57" s="59"/>
      <c r="P57" s="88" t="s">
        <v>35</v>
      </c>
      <c r="Q57" s="58">
        <f t="shared" si="25"/>
        <v>1843</v>
      </c>
      <c r="R57" s="58">
        <f t="shared" si="26"/>
        <v>2989.6835999999998</v>
      </c>
      <c r="S57" s="58">
        <v>28808.000000000004</v>
      </c>
      <c r="T57" s="94">
        <f t="shared" si="19"/>
        <v>0.16775491530130518</v>
      </c>
      <c r="U57" s="58">
        <f t="shared" si="27"/>
        <v>6443.5781333333334</v>
      </c>
      <c r="V57" s="58">
        <f t="shared" si="28"/>
        <v>22364.421866666671</v>
      </c>
      <c r="W57" s="95">
        <f t="shared" si="20"/>
        <v>3.4708078964656415</v>
      </c>
      <c r="X57" s="96">
        <f t="shared" si="21"/>
        <v>0.61645319257194975</v>
      </c>
    </row>
    <row r="58" spans="1:24" x14ac:dyDescent="0.25">
      <c r="A58" s="90">
        <f t="shared" si="22"/>
        <v>7.4780412935983698E-2</v>
      </c>
      <c r="B58" s="88" t="s">
        <v>36</v>
      </c>
      <c r="C58" s="90">
        <f t="shared" si="23"/>
        <v>0</v>
      </c>
      <c r="D58" s="90">
        <f t="shared" si="24"/>
        <v>7.4780412935983698E-2</v>
      </c>
      <c r="E58" s="90">
        <f t="shared" si="18"/>
        <v>7.4780412935983698E-2</v>
      </c>
      <c r="F58" s="93">
        <v>2.382745555362123E-3</v>
      </c>
      <c r="H58" s="91" t="s">
        <v>41</v>
      </c>
      <c r="J58" s="18">
        <v>0.12293267352519859</v>
      </c>
      <c r="K58" s="18">
        <v>1.6278161218908713E-2</v>
      </c>
      <c r="L58" s="91">
        <v>0.13921083474410731</v>
      </c>
      <c r="N58" s="59"/>
      <c r="P58" s="88" t="s">
        <v>36</v>
      </c>
      <c r="Q58" s="58">
        <f t="shared" si="25"/>
        <v>21974</v>
      </c>
      <c r="R58" s="58">
        <f t="shared" si="26"/>
        <v>47973.004199999996</v>
      </c>
      <c r="S58" s="58">
        <v>109248.8</v>
      </c>
      <c r="T58" s="94">
        <f t="shared" si="19"/>
        <v>0.6402542105725646</v>
      </c>
      <c r="U58" s="58">
        <f t="shared" si="27"/>
        <v>93262.672266666661</v>
      </c>
      <c r="V58" s="58">
        <f t="shared" si="28"/>
        <v>15986.127733333342</v>
      </c>
      <c r="W58" s="95">
        <f t="shared" si="20"/>
        <v>0.17140971135401403</v>
      </c>
      <c r="X58" s="96">
        <f t="shared" si="21"/>
        <v>0.45804927930696493</v>
      </c>
    </row>
    <row r="59" spans="1:24" x14ac:dyDescent="0.25">
      <c r="A59" s="90">
        <f t="shared" si="22"/>
        <v>4.308880878407656E-2</v>
      </c>
      <c r="B59" s="88" t="s">
        <v>37</v>
      </c>
      <c r="C59" s="90">
        <f t="shared" si="23"/>
        <v>2.1117554324276984E-2</v>
      </c>
      <c r="D59" s="90">
        <f t="shared" si="24"/>
        <v>2.1971254459799579E-2</v>
      </c>
      <c r="E59" s="90">
        <f t="shared" si="18"/>
        <v>4.308880878407656E-2</v>
      </c>
      <c r="F59" s="93">
        <v>1.1021157214725172E-2</v>
      </c>
      <c r="H59" s="91" t="s">
        <v>30</v>
      </c>
      <c r="J59" s="18">
        <v>9.2729483282674774E-2</v>
      </c>
      <c r="K59" s="18">
        <v>4.1556231003039519E-2</v>
      </c>
      <c r="L59" s="91">
        <v>0.13428571428571429</v>
      </c>
      <c r="N59" s="59"/>
      <c r="P59" s="88" t="s">
        <v>37</v>
      </c>
      <c r="Q59" s="58">
        <f t="shared" si="25"/>
        <v>23369</v>
      </c>
      <c r="R59" s="58">
        <f t="shared" si="26"/>
        <v>54847.442999999999</v>
      </c>
      <c r="S59" s="58">
        <v>102850.1</v>
      </c>
      <c r="T59" s="94">
        <f t="shared" si="19"/>
        <v>0.76048971269838328</v>
      </c>
      <c r="U59" s="58">
        <f t="shared" si="27"/>
        <v>102850.1</v>
      </c>
      <c r="V59" s="58">
        <f t="shared" si="28"/>
        <v>0</v>
      </c>
      <c r="W59" s="95">
        <f t="shared" si="20"/>
        <v>0</v>
      </c>
      <c r="X59" s="96">
        <f t="shared" si="21"/>
        <v>0.42607273414733299</v>
      </c>
    </row>
    <row r="60" spans="1:24" x14ac:dyDescent="0.25">
      <c r="A60" s="90">
        <f t="shared" si="22"/>
        <v>0.1023062387020274</v>
      </c>
      <c r="B60" s="88" t="s">
        <v>38</v>
      </c>
      <c r="C60" s="90">
        <f t="shared" si="23"/>
        <v>6.066477356214612E-2</v>
      </c>
      <c r="D60" s="90">
        <f t="shared" si="24"/>
        <v>4.164146513988129E-2</v>
      </c>
      <c r="E60" s="90">
        <f t="shared" si="18"/>
        <v>0.1023062387020274</v>
      </c>
      <c r="F60" s="93">
        <v>3.9718335982779074E-3</v>
      </c>
      <c r="H60" s="91" t="s">
        <v>46</v>
      </c>
      <c r="J60" s="18">
        <v>0</v>
      </c>
      <c r="K60" s="18">
        <v>0.13196306657583093</v>
      </c>
      <c r="L60" s="91">
        <v>0.13196306657583093</v>
      </c>
      <c r="N60" s="59"/>
      <c r="P60" s="88" t="s">
        <v>38</v>
      </c>
      <c r="Q60" s="58">
        <f t="shared" si="25"/>
        <v>29939</v>
      </c>
      <c r="R60" s="58">
        <f t="shared" si="26"/>
        <v>50231.795999999995</v>
      </c>
      <c r="S60" s="58">
        <v>260490.80000000005</v>
      </c>
      <c r="T60" s="94">
        <f t="shared" si="19"/>
        <v>0.30776824363854688</v>
      </c>
      <c r="U60" s="58">
        <f t="shared" si="27"/>
        <v>106894.39466666667</v>
      </c>
      <c r="V60" s="58">
        <f t="shared" si="28"/>
        <v>153596.40533333336</v>
      </c>
      <c r="W60" s="95">
        <f t="shared" si="20"/>
        <v>1.4368985933481315</v>
      </c>
      <c r="X60" s="96">
        <f t="shared" si="21"/>
        <v>0.59601691327142681</v>
      </c>
    </row>
    <row r="61" spans="1:24" x14ac:dyDescent="0.25">
      <c r="A61" s="90">
        <f t="shared" si="22"/>
        <v>3.6349722594222309E-3</v>
      </c>
      <c r="B61" s="88" t="s">
        <v>39</v>
      </c>
      <c r="C61" s="90">
        <v>0</v>
      </c>
      <c r="D61" s="90">
        <f t="shared" si="24"/>
        <v>3.6349722594222309E-3</v>
      </c>
      <c r="E61" s="90">
        <f t="shared" si="18"/>
        <v>3.6349722594222309E-3</v>
      </c>
      <c r="F61" s="93">
        <v>6.2551396191578212E-4</v>
      </c>
      <c r="H61" s="91" t="s">
        <v>32</v>
      </c>
      <c r="J61" s="18">
        <v>8.5188298360744277E-2</v>
      </c>
      <c r="K61" s="18">
        <v>4.4836479516054982E-2</v>
      </c>
      <c r="L61" s="91">
        <v>0.13002477787679925</v>
      </c>
      <c r="N61" s="59"/>
      <c r="P61" s="88" t="s">
        <v>39</v>
      </c>
      <c r="Q61" s="58">
        <f t="shared" si="25"/>
        <v>19</v>
      </c>
      <c r="R61" s="58">
        <f t="shared" si="26"/>
        <v>25.557600000000001</v>
      </c>
      <c r="S61" s="58">
        <v>83.100000000000009</v>
      </c>
      <c r="T61" s="94">
        <f t="shared" si="19"/>
        <v>0.53619253910950659</v>
      </c>
      <c r="U61" s="58">
        <f t="shared" si="27"/>
        <v>59.410133333333334</v>
      </c>
      <c r="V61" s="58">
        <f t="shared" si="28"/>
        <v>23.689866666666674</v>
      </c>
      <c r="W61" s="95">
        <f t="shared" si="20"/>
        <v>0.39875127924304732</v>
      </c>
      <c r="X61" s="96">
        <f t="shared" si="21"/>
        <v>0.74341878736657585</v>
      </c>
    </row>
    <row r="62" spans="1:24" x14ac:dyDescent="0.25">
      <c r="A62" s="90">
        <f t="shared" si="22"/>
        <v>0.19716286586460766</v>
      </c>
      <c r="B62" s="88" t="s">
        <v>40</v>
      </c>
      <c r="C62" s="90">
        <f t="shared" si="23"/>
        <v>0.19069850960675166</v>
      </c>
      <c r="D62" s="90">
        <f t="shared" si="24"/>
        <v>6.4643562578559893E-3</v>
      </c>
      <c r="E62" s="90">
        <f t="shared" si="18"/>
        <v>0.19716286586460766</v>
      </c>
      <c r="F62" s="93">
        <v>-0.2289258685455334</v>
      </c>
      <c r="H62" s="91" t="s">
        <v>48</v>
      </c>
      <c r="J62" s="18">
        <v>8.0407114545780478E-2</v>
      </c>
      <c r="K62" s="18">
        <v>2.9736889278387475E-2</v>
      </c>
      <c r="L62" s="91">
        <v>0.11014400382416795</v>
      </c>
      <c r="N62" s="59"/>
      <c r="P62" s="88" t="s">
        <v>40</v>
      </c>
      <c r="Q62" s="58">
        <f t="shared" si="25"/>
        <v>1098</v>
      </c>
      <c r="R62" s="58">
        <f t="shared" si="26"/>
        <v>1372.3319999999999</v>
      </c>
      <c r="S62" s="58">
        <v>5456.9</v>
      </c>
      <c r="T62" s="94">
        <f t="shared" si="19"/>
        <v>0.45269878502446442</v>
      </c>
      <c r="U62" s="58">
        <f t="shared" si="27"/>
        <v>3293.7759999999998</v>
      </c>
      <c r="V62" s="58">
        <f t="shared" si="28"/>
        <v>2163.1239999999998</v>
      </c>
      <c r="W62" s="95">
        <f t="shared" si="20"/>
        <v>0.65673075521832691</v>
      </c>
      <c r="X62" s="96">
        <f t="shared" si="21"/>
        <v>0.8000979354849993</v>
      </c>
    </row>
    <row r="63" spans="1:24" x14ac:dyDescent="0.25">
      <c r="A63" s="90">
        <f t="shared" si="22"/>
        <v>0.13921083474410731</v>
      </c>
      <c r="B63" s="88" t="s">
        <v>41</v>
      </c>
      <c r="C63" s="90">
        <f t="shared" si="23"/>
        <v>0.12293267352519859</v>
      </c>
      <c r="D63" s="90">
        <f t="shared" si="24"/>
        <v>1.6278161218908713E-2</v>
      </c>
      <c r="E63" s="90">
        <f t="shared" si="18"/>
        <v>0.13921083474410731</v>
      </c>
      <c r="F63" s="93">
        <v>-3.7149784268588892E-3</v>
      </c>
      <c r="H63" s="91" t="s">
        <v>49</v>
      </c>
      <c r="J63" s="18">
        <v>9.3026061776061764E-2</v>
      </c>
      <c r="K63" s="18">
        <v>1.4875206839492552E-2</v>
      </c>
      <c r="L63" s="91">
        <v>0.10790126861555432</v>
      </c>
      <c r="N63" s="59"/>
      <c r="P63" s="88" t="s">
        <v>41</v>
      </c>
      <c r="Q63" s="58">
        <f t="shared" si="25"/>
        <v>2138</v>
      </c>
      <c r="R63" s="58">
        <f t="shared" si="26"/>
        <v>4585.6445999999996</v>
      </c>
      <c r="S63" s="58">
        <v>9861.2000000000025</v>
      </c>
      <c r="T63" s="94">
        <f t="shared" si="19"/>
        <v>0.68182823591449293</v>
      </c>
      <c r="U63" s="58">
        <f t="shared" si="27"/>
        <v>8964.8594666666668</v>
      </c>
      <c r="V63" s="58">
        <f t="shared" si="28"/>
        <v>896.34053333333577</v>
      </c>
      <c r="W63" s="95">
        <f t="shared" si="20"/>
        <v>9.9983779630470324E-2</v>
      </c>
      <c r="X63" s="96">
        <f t="shared" si="21"/>
        <v>0.46623761466381414</v>
      </c>
    </row>
    <row r="64" spans="1:24" x14ac:dyDescent="0.25">
      <c r="A64" s="90">
        <f t="shared" si="22"/>
        <v>0.10056730273336771</v>
      </c>
      <c r="B64" s="88" t="s">
        <v>42</v>
      </c>
      <c r="C64" s="90">
        <f t="shared" si="23"/>
        <v>0</v>
      </c>
      <c r="D64" s="90">
        <f t="shared" si="24"/>
        <v>0.10056730273336771</v>
      </c>
      <c r="E64" s="90">
        <f t="shared" si="18"/>
        <v>0.10056730273336771</v>
      </c>
      <c r="F64" s="93">
        <v>-8.1333665488847739E-3</v>
      </c>
      <c r="H64" s="91" t="s">
        <v>53</v>
      </c>
      <c r="J64" s="18">
        <v>6.3949618555117507E-2</v>
      </c>
      <c r="K64" s="18">
        <v>4.0967838674049316E-2</v>
      </c>
      <c r="L64" s="91">
        <v>0.10491745722916682</v>
      </c>
      <c r="N64" s="59"/>
      <c r="P64" s="88" t="s">
        <v>42</v>
      </c>
      <c r="Q64" s="58">
        <f t="shared" si="25"/>
        <v>390</v>
      </c>
      <c r="R64" s="58">
        <f t="shared" si="26"/>
        <v>1057.5845999999999</v>
      </c>
      <c r="S64" s="58">
        <v>1468.1000000000001</v>
      </c>
      <c r="T64" s="94">
        <f t="shared" si="19"/>
        <v>0.98602588379538159</v>
      </c>
      <c r="U64" s="58">
        <f t="shared" si="27"/>
        <v>1468.1000000000001</v>
      </c>
      <c r="V64" s="58">
        <f t="shared" si="28"/>
        <v>0</v>
      </c>
      <c r="W64" s="95">
        <f t="shared" si="20"/>
        <v>0</v>
      </c>
      <c r="X64" s="96">
        <f t="shared" si="21"/>
        <v>0.36876482505513036</v>
      </c>
    </row>
    <row r="65" spans="1:24" x14ac:dyDescent="0.25">
      <c r="A65" s="90">
        <f t="shared" si="22"/>
        <v>0.20485685641082768</v>
      </c>
      <c r="B65" s="88" t="s">
        <v>43</v>
      </c>
      <c r="C65" s="90">
        <f t="shared" si="23"/>
        <v>0.19405146485462851</v>
      </c>
      <c r="D65" s="90">
        <f t="shared" si="24"/>
        <v>1.0805391556199176E-2</v>
      </c>
      <c r="E65" s="90">
        <f t="shared" si="18"/>
        <v>0.20485685641082768</v>
      </c>
      <c r="F65" s="93">
        <v>-1.8796898573973903E-2</v>
      </c>
      <c r="H65" s="91" t="s">
        <v>38</v>
      </c>
      <c r="J65" s="18">
        <v>6.066477356214612E-2</v>
      </c>
      <c r="K65" s="18">
        <v>4.164146513988129E-2</v>
      </c>
      <c r="L65" s="91">
        <v>0.1023062387020274</v>
      </c>
      <c r="N65" s="59"/>
      <c r="P65" s="88" t="s">
        <v>43</v>
      </c>
      <c r="Q65" s="58">
        <f t="shared" si="25"/>
        <v>7356</v>
      </c>
      <c r="R65" s="58">
        <f t="shared" si="26"/>
        <v>11839.0026</v>
      </c>
      <c r="S65" s="58">
        <v>27533.800000000003</v>
      </c>
      <c r="T65" s="94">
        <f t="shared" si="19"/>
        <v>0.6971432421242254</v>
      </c>
      <c r="U65" s="58">
        <f t="shared" si="27"/>
        <v>25593.336800000001</v>
      </c>
      <c r="V65" s="58">
        <f t="shared" si="28"/>
        <v>1940.463200000002</v>
      </c>
      <c r="W65" s="95">
        <f t="shared" si="20"/>
        <v>7.5819078034404713E-2</v>
      </c>
      <c r="X65" s="96">
        <f t="shared" si="21"/>
        <v>0.62133612505499414</v>
      </c>
    </row>
    <row r="66" spans="1:24" x14ac:dyDescent="0.25">
      <c r="A66" s="90">
        <f t="shared" si="22"/>
        <v>0</v>
      </c>
      <c r="B66" s="88" t="s">
        <v>44</v>
      </c>
      <c r="C66" s="90">
        <f t="shared" si="23"/>
        <v>0</v>
      </c>
      <c r="D66" s="90">
        <f>E66</f>
        <v>0</v>
      </c>
      <c r="E66" s="90">
        <f t="shared" si="18"/>
        <v>0</v>
      </c>
      <c r="F66" s="93">
        <v>0</v>
      </c>
      <c r="H66" s="91" t="s">
        <v>42</v>
      </c>
      <c r="J66" s="18">
        <v>0</v>
      </c>
      <c r="K66" s="18">
        <v>0.10056730273336771</v>
      </c>
      <c r="L66" s="91">
        <v>0.10056730273336771</v>
      </c>
      <c r="N66" s="59"/>
      <c r="P66" s="88" t="s">
        <v>44</v>
      </c>
      <c r="Q66" s="58">
        <f t="shared" si="25"/>
        <v>0</v>
      </c>
      <c r="R66" s="58">
        <f t="shared" si="26"/>
        <v>0</v>
      </c>
      <c r="S66" s="58">
        <v>0</v>
      </c>
      <c r="T66" s="94"/>
      <c r="U66" s="58">
        <f t="shared" si="27"/>
        <v>0</v>
      </c>
      <c r="V66" s="58">
        <f t="shared" si="28"/>
        <v>0</v>
      </c>
      <c r="W66" s="95"/>
      <c r="X66" s="96"/>
    </row>
    <row r="67" spans="1:24" x14ac:dyDescent="0.25">
      <c r="A67" s="90">
        <f t="shared" si="22"/>
        <v>0.32055822804884493</v>
      </c>
      <c r="B67" s="88" t="s">
        <v>45</v>
      </c>
      <c r="C67" s="90">
        <f t="shared" si="23"/>
        <v>0</v>
      </c>
      <c r="D67" s="90">
        <f>E67</f>
        <v>0.32055822804884493</v>
      </c>
      <c r="E67" s="90">
        <f t="shared" si="18"/>
        <v>0.32055822804884493</v>
      </c>
      <c r="F67" s="93">
        <v>2.1540015186010564E-2</v>
      </c>
      <c r="H67" s="91" t="s">
        <v>29</v>
      </c>
      <c r="J67" s="18">
        <v>8.965645656828973E-2</v>
      </c>
      <c r="K67" s="18">
        <v>4.3292058467554228E-3</v>
      </c>
      <c r="L67" s="91">
        <v>9.3985662415045149E-2</v>
      </c>
      <c r="N67" s="59"/>
      <c r="P67" s="88" t="s">
        <v>45</v>
      </c>
      <c r="Q67" s="58">
        <f t="shared" si="25"/>
        <v>36384</v>
      </c>
      <c r="R67" s="58">
        <f t="shared" si="26"/>
        <v>61954.122599999995</v>
      </c>
      <c r="S67" s="58">
        <v>183595.59999999998</v>
      </c>
      <c r="T67" s="94">
        <f t="shared" ref="T67:T76" si="29">(Q67+R67)/S67</f>
        <v>0.53562352583613126</v>
      </c>
      <c r="U67" s="58">
        <f t="shared" si="27"/>
        <v>131117.49679999999</v>
      </c>
      <c r="V67" s="58">
        <f t="shared" si="28"/>
        <v>52478.103199999983</v>
      </c>
      <c r="W67" s="95">
        <f t="shared" ref="W67:W76" si="30">V67/U67</f>
        <v>0.40023722600537004</v>
      </c>
      <c r="X67" s="96">
        <f t="shared" ref="X67:X76" si="31">Q67/R67</f>
        <v>0.58727326726760876</v>
      </c>
    </row>
    <row r="68" spans="1:24" x14ac:dyDescent="0.25">
      <c r="A68" s="90">
        <f t="shared" si="22"/>
        <v>0.13196306657583093</v>
      </c>
      <c r="B68" s="88" t="s">
        <v>46</v>
      </c>
      <c r="C68" s="90">
        <f t="shared" si="23"/>
        <v>0</v>
      </c>
      <c r="D68" s="90">
        <f t="shared" si="24"/>
        <v>0.13196306657583093</v>
      </c>
      <c r="E68" s="90">
        <f t="shared" si="18"/>
        <v>0.13196306657583093</v>
      </c>
      <c r="F68" s="93">
        <v>-2.9226168578413758E-2</v>
      </c>
      <c r="H68" s="91" t="s">
        <v>33</v>
      </c>
      <c r="J68" s="18">
        <v>8.3494703269165055E-2</v>
      </c>
      <c r="K68" s="18">
        <v>8.4292060599157077E-3</v>
      </c>
      <c r="L68" s="91">
        <v>9.1923909329080761E-2</v>
      </c>
      <c r="N68" s="59"/>
      <c r="P68" s="88" t="s">
        <v>46</v>
      </c>
      <c r="Q68" s="58">
        <f t="shared" si="25"/>
        <v>9104</v>
      </c>
      <c r="R68" s="58">
        <f t="shared" si="26"/>
        <v>27346.909799999998</v>
      </c>
      <c r="S68" s="58">
        <v>68086.600000000006</v>
      </c>
      <c r="T68" s="94">
        <f t="shared" si="29"/>
        <v>0.5353609932057114</v>
      </c>
      <c r="U68" s="58">
        <f t="shared" si="27"/>
        <v>48601.213066666656</v>
      </c>
      <c r="V68" s="58">
        <f t="shared" si="28"/>
        <v>19485.38693333335</v>
      </c>
      <c r="W68" s="95">
        <f t="shared" si="30"/>
        <v>0.40092388036909893</v>
      </c>
      <c r="X68" s="96">
        <f t="shared" si="31"/>
        <v>0.33290781541978831</v>
      </c>
    </row>
    <row r="69" spans="1:24" x14ac:dyDescent="0.25">
      <c r="A69" s="90">
        <f t="shared" si="22"/>
        <v>0.17188900606380175</v>
      </c>
      <c r="B69" s="88" t="s">
        <v>47</v>
      </c>
      <c r="C69" s="90">
        <f t="shared" si="23"/>
        <v>0.1353875560242552</v>
      </c>
      <c r="D69" s="90">
        <f t="shared" si="24"/>
        <v>3.6501450039546537E-2</v>
      </c>
      <c r="E69" s="90">
        <f t="shared" si="18"/>
        <v>0.17188900606380175</v>
      </c>
      <c r="F69" s="93">
        <v>1.1393652323608977E-2</v>
      </c>
      <c r="H69" s="91" t="s">
        <v>36</v>
      </c>
      <c r="J69" s="18">
        <v>0</v>
      </c>
      <c r="K69" s="18">
        <v>7.4780412935983698E-2</v>
      </c>
      <c r="L69" s="91">
        <v>7.4780412935983698E-2</v>
      </c>
      <c r="N69" s="59"/>
      <c r="P69" s="88" t="s">
        <v>47</v>
      </c>
      <c r="Q69" s="58">
        <f t="shared" si="25"/>
        <v>26079</v>
      </c>
      <c r="R69" s="58">
        <f t="shared" si="26"/>
        <v>71777.130600000004</v>
      </c>
      <c r="S69" s="58">
        <v>417826.80000000005</v>
      </c>
      <c r="T69" s="94">
        <f t="shared" si="29"/>
        <v>0.23420261840552112</v>
      </c>
      <c r="U69" s="58">
        <f t="shared" si="27"/>
        <v>130474.84080000001</v>
      </c>
      <c r="V69" s="58">
        <f t="shared" si="28"/>
        <v>287351.95920000004</v>
      </c>
      <c r="W69" s="95">
        <f t="shared" si="30"/>
        <v>2.2023553156924032</v>
      </c>
      <c r="X69" s="96">
        <f t="shared" si="31"/>
        <v>0.36333299732101576</v>
      </c>
    </row>
    <row r="70" spans="1:24" x14ac:dyDescent="0.25">
      <c r="A70" s="90">
        <f t="shared" si="22"/>
        <v>0.11014400382416795</v>
      </c>
      <c r="B70" s="88" t="s">
        <v>48</v>
      </c>
      <c r="C70" s="90">
        <f t="shared" si="23"/>
        <v>8.0407114545780478E-2</v>
      </c>
      <c r="D70" s="90">
        <f t="shared" si="24"/>
        <v>2.9736889278387475E-2</v>
      </c>
      <c r="E70" s="90">
        <f t="shared" si="18"/>
        <v>0.11014400382416795</v>
      </c>
      <c r="F70" s="93">
        <v>-6.0444915164653973E-3</v>
      </c>
      <c r="H70" s="91" t="s">
        <v>54</v>
      </c>
      <c r="J70" s="18">
        <v>5.8722265848561877E-4</v>
      </c>
      <c r="K70" s="18">
        <v>6.4659739395472024E-2</v>
      </c>
      <c r="L70" s="91">
        <v>6.5246962053957649E-2</v>
      </c>
      <c r="N70" s="59"/>
      <c r="P70" s="88" t="s">
        <v>48</v>
      </c>
      <c r="Q70" s="58">
        <f t="shared" si="25"/>
        <v>5530</v>
      </c>
      <c r="R70" s="58">
        <f t="shared" si="26"/>
        <v>16950.8004</v>
      </c>
      <c r="S70" s="58">
        <v>28558.7</v>
      </c>
      <c r="T70" s="94">
        <f t="shared" si="29"/>
        <v>0.78717870211179075</v>
      </c>
      <c r="U70" s="58">
        <f t="shared" si="27"/>
        <v>28558.7</v>
      </c>
      <c r="V70" s="58">
        <f t="shared" si="28"/>
        <v>0</v>
      </c>
      <c r="W70" s="95">
        <f t="shared" si="30"/>
        <v>0</v>
      </c>
      <c r="X70" s="96">
        <f t="shared" si="31"/>
        <v>0.326238281939772</v>
      </c>
    </row>
    <row r="71" spans="1:24" x14ac:dyDescent="0.25">
      <c r="A71" s="90">
        <f t="shared" si="22"/>
        <v>0.10790126861555432</v>
      </c>
      <c r="B71" s="88" t="s">
        <v>49</v>
      </c>
      <c r="C71" s="90">
        <f t="shared" si="23"/>
        <v>9.3026061776061764E-2</v>
      </c>
      <c r="D71" s="90">
        <f t="shared" si="24"/>
        <v>1.4875206839492552E-2</v>
      </c>
      <c r="E71" s="90">
        <f t="shared" si="18"/>
        <v>0.10790126861555432</v>
      </c>
      <c r="F71" s="93">
        <v>-7.2391563691696303E-2</v>
      </c>
      <c r="H71" s="91" t="s">
        <v>34</v>
      </c>
      <c r="J71" s="18">
        <v>0</v>
      </c>
      <c r="K71" s="18">
        <v>6.3203739111960908E-2</v>
      </c>
      <c r="L71" s="91">
        <v>6.3203739111960908E-2</v>
      </c>
      <c r="N71" s="59"/>
      <c r="P71" s="88" t="s">
        <v>49</v>
      </c>
      <c r="Q71" s="58">
        <f t="shared" si="25"/>
        <v>6260</v>
      </c>
      <c r="R71" s="58">
        <f t="shared" si="26"/>
        <v>18422.029200000001</v>
      </c>
      <c r="S71" s="58">
        <v>60053.600000000013</v>
      </c>
      <c r="T71" s="94">
        <f t="shared" si="29"/>
        <v>0.4109999933392835</v>
      </c>
      <c r="U71" s="58">
        <f t="shared" si="27"/>
        <v>32909.372266666665</v>
      </c>
      <c r="V71" s="58">
        <f t="shared" si="28"/>
        <v>27144.227733333348</v>
      </c>
      <c r="W71" s="95">
        <f t="shared" si="30"/>
        <v>0.82481754782139272</v>
      </c>
      <c r="X71" s="96">
        <f t="shared" si="31"/>
        <v>0.33981055680880146</v>
      </c>
    </row>
    <row r="72" spans="1:24" x14ac:dyDescent="0.25">
      <c r="A72" s="90">
        <f t="shared" si="22"/>
        <v>6.2496189256752634E-2</v>
      </c>
      <c r="B72" s="88" t="s">
        <v>50</v>
      </c>
      <c r="C72" s="90">
        <f t="shared" si="23"/>
        <v>4.755807572708981E-2</v>
      </c>
      <c r="D72" s="90">
        <f t="shared" si="24"/>
        <v>1.4938113529662823E-2</v>
      </c>
      <c r="E72" s="90">
        <f t="shared" si="18"/>
        <v>6.2496189256752634E-2</v>
      </c>
      <c r="F72" s="93">
        <v>-1.1800866647977769E-2</v>
      </c>
      <c r="H72" s="91" t="s">
        <v>50</v>
      </c>
      <c r="J72" s="18">
        <v>4.755807572708981E-2</v>
      </c>
      <c r="K72" s="18">
        <v>1.4938113529662823E-2</v>
      </c>
      <c r="L72" s="91">
        <v>6.2496189256752634E-2</v>
      </c>
      <c r="N72" s="59"/>
      <c r="P72" s="88" t="s">
        <v>50</v>
      </c>
      <c r="Q72" s="58">
        <f t="shared" si="25"/>
        <v>1025</v>
      </c>
      <c r="R72" s="58">
        <f t="shared" si="26"/>
        <v>3119.694</v>
      </c>
      <c r="S72" s="58">
        <v>17949.599999999999</v>
      </c>
      <c r="T72" s="94">
        <f t="shared" si="29"/>
        <v>0.23090731826893077</v>
      </c>
      <c r="U72" s="58">
        <f t="shared" si="27"/>
        <v>5526.2586666666657</v>
      </c>
      <c r="V72" s="58">
        <f t="shared" si="28"/>
        <v>12423.341333333334</v>
      </c>
      <c r="W72" s="95">
        <f t="shared" si="30"/>
        <v>2.2480564307039317</v>
      </c>
      <c r="X72" s="96">
        <f t="shared" si="31"/>
        <v>0.32855786497009004</v>
      </c>
    </row>
    <row r="73" spans="1:24" x14ac:dyDescent="0.25">
      <c r="A73" s="90">
        <f t="shared" si="22"/>
        <v>0.19166507359969412</v>
      </c>
      <c r="B73" s="88" t="s">
        <v>51</v>
      </c>
      <c r="C73" s="90">
        <f t="shared" si="23"/>
        <v>0.13251768304339515</v>
      </c>
      <c r="D73" s="90">
        <f t="shared" si="24"/>
        <v>5.9147390556298987E-2</v>
      </c>
      <c r="E73" s="90">
        <f t="shared" si="18"/>
        <v>0.19166507359969412</v>
      </c>
      <c r="F73" s="93">
        <v>-8.4348698397245431E-2</v>
      </c>
      <c r="H73" s="91" t="s">
        <v>37</v>
      </c>
      <c r="J73" s="18">
        <v>2.1117554324276984E-2</v>
      </c>
      <c r="K73" s="18">
        <v>2.1971254459799579E-2</v>
      </c>
      <c r="L73" s="91">
        <v>4.308880878407656E-2</v>
      </c>
      <c r="N73" s="59"/>
      <c r="P73" s="88" t="s">
        <v>51</v>
      </c>
      <c r="Q73" s="58">
        <f t="shared" si="25"/>
        <v>5013</v>
      </c>
      <c r="R73" s="58">
        <f t="shared" si="26"/>
        <v>5185.9704000000002</v>
      </c>
      <c r="S73" s="58">
        <v>64707.199999999997</v>
      </c>
      <c r="T73" s="94">
        <f t="shared" si="29"/>
        <v>0.15761724197616339</v>
      </c>
      <c r="U73" s="58">
        <f t="shared" si="27"/>
        <v>13598.627200000001</v>
      </c>
      <c r="V73" s="58">
        <f t="shared" si="28"/>
        <v>51108.572799999994</v>
      </c>
      <c r="W73" s="95">
        <f t="shared" si="30"/>
        <v>3.758362667666924</v>
      </c>
      <c r="X73" s="96">
        <f t="shared" si="31"/>
        <v>0.96664647372457035</v>
      </c>
    </row>
    <row r="74" spans="1:24" x14ac:dyDescent="0.25">
      <c r="A74" s="90">
        <f t="shared" si="22"/>
        <v>0.35814992645222171</v>
      </c>
      <c r="B74" s="88" t="s">
        <v>52</v>
      </c>
      <c r="C74" s="90">
        <f t="shared" si="23"/>
        <v>0.24481696317060309</v>
      </c>
      <c r="D74" s="90">
        <f t="shared" si="24"/>
        <v>0.11333296328161861</v>
      </c>
      <c r="E74" s="90">
        <f t="shared" si="18"/>
        <v>0.35814992645222171</v>
      </c>
      <c r="F74" s="93">
        <v>8.8473409156742955E-3</v>
      </c>
      <c r="H74" s="91" t="s">
        <v>35</v>
      </c>
      <c r="J74" s="18">
        <v>3.0310437545832312E-3</v>
      </c>
      <c r="K74" s="18">
        <v>2.7002362910453839E-2</v>
      </c>
      <c r="L74" s="91">
        <v>3.0033406665037073E-2</v>
      </c>
      <c r="N74" s="59"/>
      <c r="P74" s="88" t="s">
        <v>52</v>
      </c>
      <c r="Q74" s="58">
        <f t="shared" si="25"/>
        <v>25809</v>
      </c>
      <c r="R74" s="58">
        <f t="shared" si="26"/>
        <v>66728.671199999997</v>
      </c>
      <c r="S74" s="58">
        <v>135369.9</v>
      </c>
      <c r="T74" s="94">
        <f t="shared" si="29"/>
        <v>0.68359119124709411</v>
      </c>
      <c r="U74" s="58">
        <f t="shared" si="27"/>
        <v>123383.5616</v>
      </c>
      <c r="V74" s="58">
        <f t="shared" si="28"/>
        <v>11986.338399999993</v>
      </c>
      <c r="W74" s="95">
        <f t="shared" si="30"/>
        <v>9.7146963862647914E-2</v>
      </c>
      <c r="X74" s="96">
        <f t="shared" si="31"/>
        <v>0.38677527269567452</v>
      </c>
    </row>
    <row r="75" spans="1:24" x14ac:dyDescent="0.25">
      <c r="A75" s="90">
        <f t="shared" si="22"/>
        <v>0.10491745722916682</v>
      </c>
      <c r="B75" s="88" t="s">
        <v>53</v>
      </c>
      <c r="C75" s="90">
        <f t="shared" si="23"/>
        <v>6.3949618555117507E-2</v>
      </c>
      <c r="D75" s="90">
        <f t="shared" si="24"/>
        <v>4.0967838674049316E-2</v>
      </c>
      <c r="E75" s="90">
        <f t="shared" si="18"/>
        <v>0.10491745722916682</v>
      </c>
      <c r="F75" s="93">
        <v>2.5139651537531199E-2</v>
      </c>
      <c r="H75" s="91" t="s">
        <v>39</v>
      </c>
      <c r="J75" s="18">
        <v>0</v>
      </c>
      <c r="K75" s="18">
        <v>3.6349722594222309E-3</v>
      </c>
      <c r="L75" s="91">
        <v>3.6349722594222309E-3</v>
      </c>
      <c r="N75" s="59"/>
      <c r="P75" s="88" t="s">
        <v>53</v>
      </c>
      <c r="Q75" s="58">
        <f t="shared" si="25"/>
        <v>14344</v>
      </c>
      <c r="R75" s="58">
        <f t="shared" si="26"/>
        <v>44829.697199999995</v>
      </c>
      <c r="S75" s="58">
        <v>68419.000000000015</v>
      </c>
      <c r="T75" s="94">
        <f t="shared" si="29"/>
        <v>0.86487228986100328</v>
      </c>
      <c r="U75" s="58">
        <f t="shared" si="27"/>
        <v>68419.000000000015</v>
      </c>
      <c r="V75" s="58">
        <f t="shared" si="28"/>
        <v>0</v>
      </c>
      <c r="W75" s="95">
        <f t="shared" si="30"/>
        <v>0</v>
      </c>
      <c r="X75" s="96">
        <f t="shared" si="31"/>
        <v>0.31996647079739815</v>
      </c>
    </row>
    <row r="76" spans="1:24" x14ac:dyDescent="0.25">
      <c r="A76" s="90">
        <f t="shared" si="22"/>
        <v>6.5246962053957649E-2</v>
      </c>
      <c r="B76" s="88" t="s">
        <v>54</v>
      </c>
      <c r="C76" s="90">
        <f t="shared" si="23"/>
        <v>5.8722265848561877E-4</v>
      </c>
      <c r="D76" s="90">
        <f t="shared" si="24"/>
        <v>6.4659739395472024E-2</v>
      </c>
      <c r="E76" s="90">
        <f t="shared" si="18"/>
        <v>6.5246962053957649E-2</v>
      </c>
      <c r="F76" s="93">
        <v>1.9597633453589391E-3</v>
      </c>
      <c r="H76" s="91" t="s">
        <v>44</v>
      </c>
      <c r="J76" s="18">
        <v>0</v>
      </c>
      <c r="K76" s="97">
        <v>0</v>
      </c>
      <c r="L76" s="91">
        <v>0</v>
      </c>
      <c r="N76" s="59"/>
      <c r="P76" s="88" t="s">
        <v>54</v>
      </c>
      <c r="Q76" s="58">
        <f t="shared" si="25"/>
        <v>24511</v>
      </c>
      <c r="R76" s="58">
        <f t="shared" si="26"/>
        <v>43304.297399999996</v>
      </c>
      <c r="S76" s="58">
        <v>85814.6</v>
      </c>
      <c r="T76" s="94">
        <f t="shared" si="29"/>
        <v>0.79025360952565171</v>
      </c>
      <c r="U76" s="58">
        <f t="shared" si="27"/>
        <v>85814.6</v>
      </c>
      <c r="V76" s="58">
        <f t="shared" si="28"/>
        <v>0</v>
      </c>
      <c r="W76" s="95">
        <f t="shared" si="30"/>
        <v>0</v>
      </c>
      <c r="X76" s="96">
        <f t="shared" si="31"/>
        <v>0.56601772737686773</v>
      </c>
    </row>
    <row r="77" spans="1:24" x14ac:dyDescent="0.25">
      <c r="A77" s="90">
        <f t="shared" si="22"/>
        <v>1.1372365903990101E-3</v>
      </c>
      <c r="B77" s="88" t="str">
        <f>B37</f>
        <v>Norway</v>
      </c>
      <c r="C77" s="90">
        <f t="shared" si="23"/>
        <v>1.1372365903990101E-3</v>
      </c>
      <c r="D77" s="90">
        <f t="shared" si="24"/>
        <v>0</v>
      </c>
      <c r="E77" s="90">
        <f t="shared" si="18"/>
        <v>1.1372365903990101E-3</v>
      </c>
      <c r="F77" s="93">
        <v>-4.2612054390882899E-2</v>
      </c>
      <c r="H77" s="91"/>
      <c r="J77" s="18"/>
      <c r="K77" s="91"/>
      <c r="L77" s="91"/>
      <c r="N77" s="59"/>
      <c r="P77" s="88"/>
      <c r="Q77" s="58"/>
      <c r="R77" s="58"/>
      <c r="S77" s="58"/>
      <c r="T77" s="94"/>
      <c r="U77" s="58"/>
      <c r="V77" s="58"/>
      <c r="W77" s="95"/>
      <c r="X77" s="96"/>
    </row>
    <row r="78" spans="1:24" x14ac:dyDescent="0.25">
      <c r="A78" s="90">
        <f t="shared" si="22"/>
        <v>0.12671206073413163</v>
      </c>
      <c r="B78" s="88" t="str">
        <f t="shared" ref="B78:B79" si="32">B38</f>
        <v>Croatia</v>
      </c>
      <c r="C78" s="90">
        <f t="shared" si="23"/>
        <v>0.10307583939891993</v>
      </c>
      <c r="D78" s="90">
        <f t="shared" si="24"/>
        <v>2.3636221335211708E-2</v>
      </c>
      <c r="E78" s="90">
        <f t="shared" si="18"/>
        <v>0.12671206073413163</v>
      </c>
      <c r="F78" s="93">
        <v>0.12594793676528818</v>
      </c>
      <c r="H78" s="91"/>
      <c r="J78" s="18"/>
      <c r="K78" s="91"/>
      <c r="L78" s="91"/>
      <c r="N78" s="59"/>
      <c r="P78" s="88"/>
      <c r="Q78" s="58"/>
      <c r="R78" s="58"/>
      <c r="S78" s="58"/>
      <c r="T78" s="94"/>
      <c r="U78" s="58"/>
      <c r="V78" s="58"/>
      <c r="W78" s="95"/>
      <c r="X78" s="96"/>
    </row>
    <row r="79" spans="1:24" x14ac:dyDescent="0.25">
      <c r="A79" s="90">
        <f t="shared" si="22"/>
        <v>3.7754153983563722E-2</v>
      </c>
      <c r="B79" s="88" t="str">
        <f t="shared" si="32"/>
        <v>Turkey</v>
      </c>
      <c r="C79" s="90">
        <f t="shared" si="23"/>
        <v>1.5322386083064271E-2</v>
      </c>
      <c r="D79" s="90">
        <f t="shared" si="24"/>
        <v>0</v>
      </c>
      <c r="E79" s="90">
        <f t="shared" si="18"/>
        <v>3.7754153983563722E-2</v>
      </c>
      <c r="F79" s="93">
        <v>-0.10645531228028321</v>
      </c>
      <c r="H79" s="91"/>
      <c r="J79" s="18"/>
      <c r="K79" s="91"/>
      <c r="L79" s="91"/>
      <c r="N79" s="59"/>
      <c r="P79" s="88"/>
      <c r="Q79" s="58"/>
      <c r="R79" s="58"/>
      <c r="S79" s="58"/>
      <c r="T79" s="94"/>
      <c r="U79" s="58"/>
      <c r="V79" s="58"/>
      <c r="W79" s="95"/>
      <c r="X79" s="96"/>
    </row>
    <row r="80" spans="1:24" x14ac:dyDescent="0.25">
      <c r="O80" s="59"/>
      <c r="P80" s="59"/>
    </row>
    <row r="81" spans="5:18" x14ac:dyDescent="0.25">
      <c r="E81" s="59"/>
    </row>
    <row r="82" spans="5:18" x14ac:dyDescent="0.25">
      <c r="O82" t="s">
        <v>84</v>
      </c>
      <c r="P82" s="85" t="s">
        <v>72</v>
      </c>
      <c r="Q82" t="s">
        <v>85</v>
      </c>
      <c r="R82" t="s">
        <v>86</v>
      </c>
    </row>
    <row r="83" spans="5:18" x14ac:dyDescent="0.25">
      <c r="P83" s="88" t="s">
        <v>32</v>
      </c>
      <c r="Q83" s="58">
        <v>332621.59999999998</v>
      </c>
      <c r="R83" s="58">
        <v>332621.59999999998</v>
      </c>
    </row>
    <row r="84" spans="5:18" x14ac:dyDescent="0.25">
      <c r="P84" s="88" t="s">
        <v>45</v>
      </c>
      <c r="Q84" s="58">
        <v>183595.59999999998</v>
      </c>
      <c r="R84" s="58">
        <v>131117.49679999999</v>
      </c>
    </row>
    <row r="85" spans="5:18" x14ac:dyDescent="0.25">
      <c r="P85" s="88" t="s">
        <v>47</v>
      </c>
      <c r="Q85" s="58">
        <v>417826.80000000005</v>
      </c>
      <c r="R85" s="58">
        <v>130474.84080000001</v>
      </c>
    </row>
    <row r="86" spans="5:18" x14ac:dyDescent="0.25">
      <c r="P86" s="88" t="s">
        <v>52</v>
      </c>
      <c r="Q86" s="58">
        <v>135369.9</v>
      </c>
      <c r="R86" s="58">
        <v>123383.5616</v>
      </c>
    </row>
    <row r="87" spans="5:18" x14ac:dyDescent="0.25">
      <c r="P87" s="88" t="s">
        <v>38</v>
      </c>
      <c r="Q87" s="58">
        <v>260490.80000000005</v>
      </c>
      <c r="R87" s="58">
        <v>106894.39466666667</v>
      </c>
    </row>
    <row r="88" spans="5:18" x14ac:dyDescent="0.25">
      <c r="P88" s="88" t="s">
        <v>37</v>
      </c>
      <c r="Q88" s="58">
        <v>102850.1</v>
      </c>
      <c r="R88" s="58">
        <v>102850.1</v>
      </c>
    </row>
    <row r="89" spans="5:18" x14ac:dyDescent="0.25">
      <c r="P89" s="88" t="s">
        <v>36</v>
      </c>
      <c r="Q89" s="58">
        <v>109248.8</v>
      </c>
      <c r="R89" s="58">
        <v>93262.672266666661</v>
      </c>
    </row>
    <row r="90" spans="5:18" x14ac:dyDescent="0.25">
      <c r="P90" s="88" t="s">
        <v>54</v>
      </c>
      <c r="Q90" s="58">
        <v>85814.6</v>
      </c>
      <c r="R90" s="58">
        <v>85814.6</v>
      </c>
    </row>
    <row r="91" spans="5:18" x14ac:dyDescent="0.25">
      <c r="P91" s="88" t="s">
        <v>53</v>
      </c>
      <c r="Q91" s="58">
        <v>68419.000000000015</v>
      </c>
      <c r="R91" s="58">
        <v>68419.000000000015</v>
      </c>
    </row>
    <row r="92" spans="5:18" x14ac:dyDescent="0.25">
      <c r="P92" s="88" t="s">
        <v>31</v>
      </c>
      <c r="Q92" s="58">
        <v>83183.100000000006</v>
      </c>
      <c r="R92" s="58">
        <v>62657.476800000004</v>
      </c>
    </row>
    <row r="93" spans="5:18" x14ac:dyDescent="0.25">
      <c r="P93" s="88" t="s">
        <v>30</v>
      </c>
      <c r="Q93" s="58">
        <v>110301.4</v>
      </c>
      <c r="R93" s="58">
        <v>59138.36746666667</v>
      </c>
    </row>
    <row r="94" spans="5:18" x14ac:dyDescent="0.25">
      <c r="P94" s="88" t="s">
        <v>46</v>
      </c>
      <c r="Q94" s="58">
        <v>68086.600000000006</v>
      </c>
      <c r="R94" s="58">
        <v>48601.213066666656</v>
      </c>
    </row>
    <row r="95" spans="5:18" x14ac:dyDescent="0.25">
      <c r="P95" s="88" t="s">
        <v>27</v>
      </c>
      <c r="Q95" s="58">
        <v>40719</v>
      </c>
      <c r="R95" s="58">
        <v>40719</v>
      </c>
    </row>
    <row r="96" spans="5:18" x14ac:dyDescent="0.25">
      <c r="P96" s="88" t="s">
        <v>49</v>
      </c>
      <c r="Q96" s="58">
        <v>60053.600000000013</v>
      </c>
      <c r="R96" s="58">
        <v>32909.372266666665</v>
      </c>
    </row>
    <row r="97" spans="16:19" x14ac:dyDescent="0.25">
      <c r="P97" s="88" t="s">
        <v>48</v>
      </c>
      <c r="Q97" s="58">
        <v>28558.7</v>
      </c>
      <c r="R97" s="58">
        <v>28558.7</v>
      </c>
    </row>
    <row r="98" spans="16:19" x14ac:dyDescent="0.25">
      <c r="P98" s="88" t="s">
        <v>43</v>
      </c>
      <c r="Q98" s="58">
        <v>27533.800000000003</v>
      </c>
      <c r="R98" s="58">
        <v>25593.336800000001</v>
      </c>
    </row>
    <row r="99" spans="16:19" x14ac:dyDescent="0.25">
      <c r="P99" s="88" t="s">
        <v>29</v>
      </c>
      <c r="Q99" s="58">
        <v>30220.7</v>
      </c>
      <c r="R99" s="58">
        <v>21849.391200000002</v>
      </c>
    </row>
    <row r="100" spans="16:19" x14ac:dyDescent="0.25">
      <c r="P100" s="88" t="s">
        <v>51</v>
      </c>
      <c r="Q100" s="58">
        <v>64707.199999999997</v>
      </c>
      <c r="R100" s="58">
        <v>13598.627200000001</v>
      </c>
    </row>
    <row r="101" spans="16:19" x14ac:dyDescent="0.25">
      <c r="P101" s="88" t="s">
        <v>41</v>
      </c>
      <c r="Q101" s="58">
        <v>9861.2000000000025</v>
      </c>
      <c r="R101" s="58">
        <v>8964.8594666666668</v>
      </c>
    </row>
    <row r="102" spans="16:19" x14ac:dyDescent="0.25">
      <c r="P102" s="88" t="s">
        <v>35</v>
      </c>
      <c r="Q102" s="58">
        <v>28808.000000000004</v>
      </c>
      <c r="R102" s="58">
        <v>6443.5781333333334</v>
      </c>
    </row>
    <row r="103" spans="16:19" x14ac:dyDescent="0.25">
      <c r="P103" s="88" t="s">
        <v>34</v>
      </c>
      <c r="Q103" s="58">
        <v>5955.5000000000009</v>
      </c>
      <c r="R103" s="58">
        <v>5955.5000000000009</v>
      </c>
    </row>
    <row r="104" spans="16:19" x14ac:dyDescent="0.25">
      <c r="P104" s="88" t="s">
        <v>50</v>
      </c>
      <c r="Q104" s="58">
        <v>17949.599999999999</v>
      </c>
      <c r="R104" s="58">
        <v>5526.2586666666657</v>
      </c>
    </row>
    <row r="105" spans="16:19" x14ac:dyDescent="0.25">
      <c r="P105" s="88" t="s">
        <v>33</v>
      </c>
      <c r="Q105" s="58">
        <v>4986.0000000000009</v>
      </c>
      <c r="R105" s="58">
        <v>4986.0000000000009</v>
      </c>
    </row>
    <row r="106" spans="16:19" x14ac:dyDescent="0.25">
      <c r="P106" s="88" t="s">
        <v>40</v>
      </c>
      <c r="Q106" s="58">
        <v>5456.9</v>
      </c>
      <c r="R106" s="58">
        <v>3293.7759999999998</v>
      </c>
    </row>
    <row r="107" spans="16:19" x14ac:dyDescent="0.25">
      <c r="P107" s="88" t="s">
        <v>42</v>
      </c>
      <c r="Q107" s="58">
        <v>1468.1000000000001</v>
      </c>
      <c r="R107" s="58">
        <v>1468.1000000000001</v>
      </c>
    </row>
    <row r="108" spans="16:19" x14ac:dyDescent="0.25">
      <c r="P108" s="88" t="s">
        <v>39</v>
      </c>
      <c r="Q108" s="58">
        <v>83.100000000000009</v>
      </c>
      <c r="R108" s="58">
        <v>59.410133333333334</v>
      </c>
    </row>
    <row r="109" spans="16:19" x14ac:dyDescent="0.25">
      <c r="P109" s="88" t="s">
        <v>44</v>
      </c>
      <c r="Q109" s="58">
        <v>0</v>
      </c>
      <c r="R109" s="58">
        <v>0</v>
      </c>
    </row>
    <row r="110" spans="16:19" x14ac:dyDescent="0.25">
      <c r="P110" s="85" t="s">
        <v>18</v>
      </c>
      <c r="Q110" s="58">
        <f>SUM(Q83:Q109)</f>
        <v>2284169.7000000011</v>
      </c>
      <c r="R110" s="58">
        <f>SUM(R83:R109)</f>
        <v>1545161.2333333334</v>
      </c>
      <c r="S110" s="18">
        <f>R110/Q110</f>
        <v>0.67646516514658817</v>
      </c>
    </row>
    <row r="111" spans="16:19" x14ac:dyDescent="0.25">
      <c r="R111" s="58">
        <f>Q110-R110</f>
        <v>739008.46666666772</v>
      </c>
      <c r="S111" s="18">
        <f>R111/Q110</f>
        <v>0.32353483485341189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Data Fig 1</vt:lpstr>
      <vt:lpstr>Fig 2c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2012-03-01T12:25:38Z</dcterms:created>
  <dcterms:modified xsi:type="dcterms:W3CDTF">2012-03-01T12:26:08Z</dcterms:modified>
</cp:coreProperties>
</file>