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6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8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21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38.xml" ContentType="application/vnd.openxmlformats-officedocument.spreadsheetml.worksheet+xml"/>
  <Override PartName="/xl/comments44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worksheets/sheet41.xml" ContentType="application/vnd.openxmlformats-officedocument.spreadsheetml.worksheet+xml"/>
  <Override PartName="/xl/drawings/drawing13.xml" ContentType="application/vnd.openxmlformats-officedocument.drawing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2370" windowWidth="11865" windowHeight="7635" tabRatio="823" firstSheet="28" activeTab="33"/>
  </bookViews>
  <sheets>
    <sheet name="readme" sheetId="1" r:id="rId1"/>
    <sheet name="data_factsheet" sheetId="2" r:id="rId2"/>
    <sheet name="data_fact_sheet" sheetId="3" r:id="rId3"/>
    <sheet name="Chart_passtransport_EU-15+GDP" sheetId="4" r:id="rId4"/>
    <sheet name="data_passtransport_EU15+GDP" sheetId="5" r:id="rId5"/>
    <sheet name="Chart_total_pkm_by_country" sheetId="6" r:id="rId6"/>
    <sheet name="data_total_pkm_by_country" sheetId="7" r:id="rId7"/>
    <sheet name="Chart_shares_historical" sheetId="8" r:id="rId8"/>
    <sheet name="data_shares_historical" sheetId="9" r:id="rId9"/>
    <sheet name="Chart_share_car_by_country_98-0" sheetId="10" r:id="rId10"/>
    <sheet name="data_share_car_by_country_91-00" sheetId="11" r:id="rId11"/>
    <sheet name="Chart_share_air_by_country" sheetId="12" r:id="rId12"/>
    <sheet name="data air share by county" sheetId="13" r:id="rId13"/>
    <sheet name="EU-15_shares" sheetId="14" r:id="rId14"/>
    <sheet name="EU-15_totals" sheetId="15" r:id="rId15"/>
    <sheet name="country_split" sheetId="16" r:id="rId16"/>
    <sheet name="manip_pt_pc" sheetId="17" r:id="rId17"/>
    <sheet name="basedata_pt_pc" sheetId="18" r:id="rId18"/>
    <sheet name="manip_pt_mbike" sheetId="19" r:id="rId19"/>
    <sheet name="basedata_pt_mbike" sheetId="20" r:id="rId20"/>
    <sheet name="manip_pt_b+c" sheetId="21" r:id="rId21"/>
    <sheet name="basedata_pt_b+c" sheetId="22" r:id="rId22"/>
    <sheet name="manip_pt_t+m" sheetId="23" r:id="rId23"/>
    <sheet name="basedata_t+m" sheetId="24" r:id="rId24"/>
    <sheet name="manip_pt_rail" sheetId="25" r:id="rId25"/>
    <sheet name="basedata_pt_ra" sheetId="26" r:id="rId26"/>
    <sheet name="manip_waterborne_pt" sheetId="27" r:id="rId27"/>
    <sheet name="basedata_wb" sheetId="28" r:id="rId28"/>
    <sheet name="manip_pt_air_tot" sheetId="29" r:id="rId29"/>
    <sheet name="manip_pt_air_extra" sheetId="30" r:id="rId30"/>
    <sheet name="manip_pt_air_intra" sheetId="31" r:id="rId31"/>
    <sheet name="manip_pt_air_dom" sheetId="32" r:id="rId32"/>
    <sheet name="manip_aviation" sheetId="33" r:id="rId33"/>
    <sheet name="basedata_aviation" sheetId="34" r:id="rId34"/>
    <sheet name="manip_walking" sheetId="35" r:id="rId35"/>
    <sheet name="basedata_walking" sheetId="36" r:id="rId36"/>
    <sheet name="manip_cycling" sheetId="37" r:id="rId37"/>
    <sheet name="basedata_cy" sheetId="38" r:id="rId38"/>
    <sheet name="manip_pt_travel_purpose" sheetId="39" r:id="rId39"/>
    <sheet name="basedata_pt_travel_purpose" sheetId="40" r:id="rId40"/>
    <sheet name="manip_vkm" sheetId="41" r:id="rId41"/>
    <sheet name="basedata_vkm" sheetId="42" r:id="rId42"/>
    <sheet name="Graph_purposes" sheetId="43" r:id="rId43"/>
    <sheet name="Manip_purposes" sheetId="44" r:id="rId44"/>
    <sheet name="basedata_purposes" sheetId="45" r:id="rId45"/>
    <sheet name="vehicle ownership" sheetId="46" r:id="rId46"/>
    <sheet name="Graph_air_travel_purp_UK" sheetId="47" r:id="rId47"/>
    <sheet name="Blad1" sheetId="48" r:id="rId48"/>
    <sheet name="air travel purposes" sheetId="49" r:id="rId49"/>
  </sheets>
  <externalReferences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Print_Area" localSheetId="10">'data_share_car_by_country_91-00'!$A$9:$O$29</definedName>
    <definedName name="item0" localSheetId="44">'basedata_purposes'!#REF!</definedName>
    <definedName name="toel0" localSheetId="44">'basedata_purposes'!#REF!</definedName>
  </definedNames>
  <calcPr fullCalcOnLoad="1"/>
</workbook>
</file>

<file path=xl/comments15.xml><?xml version="1.0" encoding="utf-8"?>
<comments xmlns="http://schemas.openxmlformats.org/spreadsheetml/2006/main">
  <authors>
    <author>Wouter de Ridder</author>
    <author>EdB</author>
  </authors>
  <commentList>
    <comment ref="M30" authorId="0">
      <text>
        <r>
          <rPr>
            <b/>
            <sz val="8"/>
            <rFont val="Tahoma"/>
            <family val="0"/>
          </rPr>
          <t xml:space="preserve">1992-2000
</t>
        </r>
      </text>
    </comment>
    <comment ref="N30" authorId="0">
      <text>
        <r>
          <rPr>
            <b/>
            <sz val="8"/>
            <rFont val="Tahoma"/>
            <family val="0"/>
          </rPr>
          <t xml:space="preserve">1992-2000
</t>
        </r>
      </text>
    </comment>
    <comment ref="R30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Q30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L30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L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M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1992-2000</t>
        </r>
      </text>
    </comment>
    <comment ref="N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1992-2000</t>
        </r>
      </text>
    </comment>
    <comment ref="Q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R32" authorId="1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1994-2000
</t>
        </r>
      </text>
    </comment>
    <comment ref="P30" authorId="0">
      <text>
        <r>
          <rPr>
            <b/>
            <sz val="8"/>
            <rFont val="Tahoma"/>
            <family val="0"/>
          </rPr>
          <t xml:space="preserve">1994-2000
</t>
        </r>
      </text>
    </comment>
  </commentList>
</comments>
</file>

<file path=xl/comments16.xml><?xml version="1.0" encoding="utf-8"?>
<comments xmlns="http://schemas.openxmlformats.org/spreadsheetml/2006/main">
  <authors>
    <author>EdB</author>
  </authors>
  <commentList>
    <comment ref="B17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motorcycle data lacks</t>
        </r>
      </text>
    </comment>
  </commentList>
</comments>
</file>

<file path=xl/comments18.xml><?xml version="1.0" encoding="utf-8"?>
<comments xmlns="http://schemas.openxmlformats.org/spreadsheetml/2006/main">
  <authors>
    <author>EdB</author>
  </authors>
  <commentList>
    <comment ref="B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data taken from SI data 2002 version TERM
</t>
        </r>
      </text>
    </comment>
  </commentList>
</comments>
</file>

<file path=xl/comments21.xml><?xml version="1.0" encoding="utf-8"?>
<comments xmlns="http://schemas.openxmlformats.org/spreadsheetml/2006/main">
  <authors>
    <author>EdB</author>
  </authors>
  <commentList>
    <comment ref="C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taken from TERM 2002 data
</t>
        </r>
      </text>
    </comment>
  </commentList>
</comments>
</file>

<file path=xl/comments44.xml><?xml version="1.0" encoding="utf-8"?>
<comments xmlns="http://schemas.openxmlformats.org/spreadsheetml/2006/main">
  <authors>
    <author>EdB</author>
  </authors>
  <commentList>
    <comment ref="E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persoonlijke (kapper, dokter) mareriele (garage, bibliotheek) verzoriging
</t>
        </r>
      </text>
    </comment>
    <comment ref="I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sport en ontspanning
</t>
        </r>
      </text>
    </comment>
  </commentList>
</comments>
</file>

<file path=xl/sharedStrings.xml><?xml version="1.0" encoding="utf-8"?>
<sst xmlns="http://schemas.openxmlformats.org/spreadsheetml/2006/main" count="2530" uniqueCount="383">
  <si>
    <t>Rail</t>
  </si>
  <si>
    <t>Walking</t>
  </si>
  <si>
    <t>Cycling</t>
  </si>
  <si>
    <t>(1 000 mio pkm)</t>
  </si>
  <si>
    <t>:</t>
  </si>
  <si>
    <t>EU-15</t>
  </si>
  <si>
    <t>EUR</t>
  </si>
  <si>
    <t xml:space="preserve">B </t>
  </si>
  <si>
    <t xml:space="preserve">DK </t>
  </si>
  <si>
    <t xml:space="preserve">D </t>
  </si>
  <si>
    <t>EL</t>
  </si>
  <si>
    <t xml:space="preserve">E </t>
  </si>
  <si>
    <t xml:space="preserve">F </t>
  </si>
  <si>
    <t xml:space="preserve">IRL </t>
  </si>
  <si>
    <t xml:space="preserve">I </t>
  </si>
  <si>
    <t xml:space="preserve">L </t>
  </si>
  <si>
    <t xml:space="preserve">NL </t>
  </si>
  <si>
    <t xml:space="preserve">A </t>
  </si>
  <si>
    <t xml:space="preserve">P </t>
  </si>
  <si>
    <t xml:space="preserve">FIN </t>
  </si>
  <si>
    <t xml:space="preserve">S </t>
  </si>
  <si>
    <t xml:space="preserve">UK </t>
  </si>
  <si>
    <t>Commuting</t>
  </si>
  <si>
    <t>Other</t>
  </si>
  <si>
    <t>Shopping</t>
  </si>
  <si>
    <t>Business</t>
  </si>
  <si>
    <t>Return home</t>
  </si>
  <si>
    <t>Visit</t>
  </si>
  <si>
    <t>Leisure</t>
  </si>
  <si>
    <t>Source: Eurostat (New Cronos)</t>
  </si>
  <si>
    <t>2.2.4 Passenger transport by bus and coach, 1970 - 1998</t>
  </si>
  <si>
    <t>2.2.11 Passengers - Travel purpose, 1996</t>
  </si>
  <si>
    <t>(%)</t>
  </si>
  <si>
    <t>Belgium</t>
  </si>
  <si>
    <t>Denmark</t>
  </si>
  <si>
    <t>Greece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</si>
  <si>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</si>
  <si>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</si>
  <si>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</si>
  <si>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</si>
  <si>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</si>
  <si>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</si>
  <si>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</si>
  <si>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</si>
  <si>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</si>
  <si>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</si>
  <si>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</si>
  <si>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Eurostat</t>
  </si>
  <si>
    <t>Passengers car</t>
  </si>
  <si>
    <t>Tram + Metro</t>
  </si>
  <si>
    <t>Note</t>
  </si>
  <si>
    <t>Source</t>
  </si>
  <si>
    <t>Motorcycles</t>
  </si>
  <si>
    <t>Autria</t>
  </si>
  <si>
    <t>Eurostat (New Cronos)</t>
  </si>
  <si>
    <t>2.2.10 Cycling, 1980-2001</t>
  </si>
  <si>
    <t>2.2.9 Walking, 1992 - 1999</t>
  </si>
  <si>
    <t>Notes</t>
  </si>
  <si>
    <t>UITP</t>
  </si>
  <si>
    <t>2.2.7 Waterborne passenger transport, 1980 - 1998</t>
  </si>
  <si>
    <t>UIC and other</t>
  </si>
  <si>
    <t>Eurostat (based on all sheets in this excel file)</t>
  </si>
  <si>
    <t>(1 000 mio passenger-km)</t>
  </si>
  <si>
    <t>Tram/metro and rail</t>
  </si>
  <si>
    <t>2.1.1 Number of vehicle kilometres, 1970 - 1999</t>
  </si>
  <si>
    <t>(mio vkm)</t>
  </si>
  <si>
    <t>B</t>
  </si>
  <si>
    <t>DK</t>
  </si>
  <si>
    <t>D</t>
  </si>
  <si>
    <t>E</t>
  </si>
  <si>
    <t>F</t>
  </si>
  <si>
    <t>IRL</t>
  </si>
  <si>
    <t>I</t>
  </si>
  <si>
    <t>L</t>
  </si>
  <si>
    <t>NL</t>
  </si>
  <si>
    <t>A</t>
  </si>
  <si>
    <t>P</t>
  </si>
  <si>
    <t>FIN</t>
  </si>
  <si>
    <t>S</t>
  </si>
  <si>
    <t>UK</t>
  </si>
  <si>
    <t>Powered two-wheelers</t>
  </si>
  <si>
    <t>Passenger cars</t>
  </si>
  <si>
    <t>United Kingdom :passenger car includes light vans</t>
  </si>
  <si>
    <t>Motor coaches, buses and trolley buses</t>
  </si>
  <si>
    <t>Lorries and road tractors</t>
  </si>
  <si>
    <t>Finland : lorries,road tractors and vans</t>
  </si>
  <si>
    <t>Netherlands : including vans and special vehicles</t>
  </si>
  <si>
    <t>Separate data for mopeds and motorbikes</t>
  </si>
  <si>
    <t>Mopeds</t>
  </si>
  <si>
    <t>Source: Eurostat (New Cronos);ECMT; UNECE; national sources. SHEET COPIED FROM 2_1_trafficR.xls</t>
  </si>
  <si>
    <t>Vehicle kilometres</t>
  </si>
  <si>
    <t>(1 000 mio vkm)</t>
  </si>
  <si>
    <t>Eurostat (New Cronos);ECMT; UNECE; national sources</t>
  </si>
  <si>
    <t>EU-7</t>
  </si>
  <si>
    <t>EU-7 consists of Belgium, Denmark, France, Portugal, Finland, Sweden and United KIngdom</t>
  </si>
  <si>
    <t>(kilometres per capita)</t>
  </si>
  <si>
    <t>Germany</t>
  </si>
  <si>
    <t>Increases</t>
  </si>
  <si>
    <t>1999 EU15 value estimated by using same annual growth rate as in 1998:</t>
  </si>
  <si>
    <t>Sources:</t>
  </si>
  <si>
    <t>File</t>
  </si>
  <si>
    <t>Remarks</t>
  </si>
  <si>
    <t>Passenger transport by car per capita</t>
  </si>
  <si>
    <t>All sheets of this workbook</t>
  </si>
  <si>
    <t>Average annual growth rate between 1992 and 1999:</t>
  </si>
  <si>
    <t>Passenger transport by rail per capita</t>
  </si>
  <si>
    <t>Passenger transport by air per capita</t>
  </si>
  <si>
    <t>Increase between 1990-1999</t>
  </si>
  <si>
    <t>Passenger transport by inland waterways per capita</t>
  </si>
  <si>
    <t>Passenger transport by bicycle per capita</t>
  </si>
  <si>
    <t>Passenger transport by foot per capita</t>
  </si>
  <si>
    <t>Increase between 1991 and 19999</t>
  </si>
  <si>
    <t>IS</t>
  </si>
  <si>
    <t>NO</t>
  </si>
  <si>
    <t>EU15</t>
  </si>
  <si>
    <t>US</t>
  </si>
  <si>
    <t>Japan</t>
  </si>
  <si>
    <t>Eurostat SI</t>
  </si>
  <si>
    <t>Source: UITP (Eurostat TERM)</t>
  </si>
  <si>
    <t>Passenger transport by tram and metro</t>
  </si>
  <si>
    <t>Passenger transport by rail</t>
  </si>
  <si>
    <t>Waterborne passenger transport</t>
  </si>
  <si>
    <t>Passenger transport by air (domestic and intra-European)</t>
  </si>
  <si>
    <t>Passenger transport by motorbike</t>
  </si>
  <si>
    <t>Passenger transport by passenger car</t>
  </si>
  <si>
    <t>All structural indicator (SI) modes</t>
  </si>
  <si>
    <t>Shares of modes in passenger transport</t>
  </si>
  <si>
    <t>Increase between 1991-1999</t>
  </si>
  <si>
    <t>Revenu pkm (mio)</t>
  </si>
  <si>
    <t>Domestic</t>
  </si>
  <si>
    <t>Intra-European</t>
  </si>
  <si>
    <t>Extra-European</t>
  </si>
  <si>
    <t>Domestic plus intra-European</t>
  </si>
  <si>
    <t>Total international (intra- plus extra-European)</t>
  </si>
  <si>
    <t>Total (domestic plus intra- plus extra-European)</t>
  </si>
  <si>
    <t>Based on principal national carriers.</t>
  </si>
  <si>
    <t>Passenger transport by air: domestic</t>
  </si>
  <si>
    <t>Based on principal carriers only</t>
  </si>
  <si>
    <t>Passenger transport by air: intra-EU</t>
  </si>
  <si>
    <t>Passenger transport by air: extra-EU</t>
  </si>
  <si>
    <t>Air (domestic)</t>
  </si>
  <si>
    <t>Air (intra-European)</t>
  </si>
  <si>
    <t>Air (dom+intra)</t>
  </si>
  <si>
    <t>Tram/metro</t>
  </si>
  <si>
    <t>Buses/ coaches</t>
  </si>
  <si>
    <t>Air (extra-European)</t>
  </si>
  <si>
    <t>Passenger car, bus/coach, rail, tram/metro, air (domestic, intra- and extra-European)</t>
  </si>
  <si>
    <t>All modes (excluding motorcycles, waterborne, walking and cycling) by country</t>
  </si>
  <si>
    <t>All modes (excluding walking and cycling) by country</t>
  </si>
  <si>
    <t>All SI + OTHER excluding walking and cycling</t>
  </si>
  <si>
    <t>Private vehicles (car, motorcycles)</t>
  </si>
  <si>
    <t>Average annual growth rates</t>
  </si>
  <si>
    <t>Passenger transport by mode, EU-15</t>
  </si>
  <si>
    <t>Passenger transport</t>
  </si>
  <si>
    <t>Air (domestic+intra-European)</t>
  </si>
  <si>
    <t>GDP</t>
  </si>
  <si>
    <t>Passenger transport includes car, bus/coach, rail, tram/metro and domestic, intra- and extra-European aviation</t>
  </si>
  <si>
    <t>Air (dom+intra+extra)</t>
  </si>
  <si>
    <t>All aviation</t>
  </si>
  <si>
    <t>Passenger transport by air: intra-European</t>
  </si>
  <si>
    <t>Passenger transport by air: extra-European</t>
  </si>
  <si>
    <t>(1 000 pkm per capita)</t>
  </si>
  <si>
    <t>Table for fact sheet</t>
  </si>
  <si>
    <t>Passenger transport demand per capita by air in 1999</t>
  </si>
  <si>
    <t>Unit</t>
  </si>
  <si>
    <t>Passenger transport by air: all</t>
  </si>
  <si>
    <t>Increase</t>
  </si>
  <si>
    <t>Share extra-European:</t>
  </si>
  <si>
    <t>Increase 1991-1999</t>
  </si>
  <si>
    <t>Increase 1998-1999</t>
  </si>
  <si>
    <t>kilometres per capita</t>
  </si>
  <si>
    <t>Km per day</t>
  </si>
  <si>
    <t>Incr. 93/99</t>
  </si>
  <si>
    <t>Passenger-km per car</t>
  </si>
  <si>
    <t>(kilometres per car)</t>
  </si>
  <si>
    <t>Tables used in the fact sheet</t>
  </si>
  <si>
    <t>Unit:</t>
  </si>
  <si>
    <t>percentage shares in passenger-kms (modes included are the modes listed)</t>
  </si>
  <si>
    <t>Car</t>
  </si>
  <si>
    <t>Bus/coach</t>
  </si>
  <si>
    <t>Source:</t>
  </si>
  <si>
    <t>Eurostat, 2002</t>
  </si>
  <si>
    <t>Total</t>
  </si>
  <si>
    <t>Share car</t>
  </si>
  <si>
    <t>Share PTW</t>
  </si>
  <si>
    <t>Share Walking</t>
  </si>
  <si>
    <t>Share Cycling</t>
  </si>
  <si>
    <t>Mode shift between cars, PTW, tram/metro and alternative modes?</t>
  </si>
  <si>
    <t>Share tram/metro</t>
  </si>
  <si>
    <t>Modes included: passenger car, bus/coach, rail, tram/metro, air (domestic, intra- and extra-European)</t>
  </si>
  <si>
    <t>`</t>
  </si>
  <si>
    <t>1000 mio pkm</t>
  </si>
  <si>
    <t>index 1970 =100</t>
  </si>
  <si>
    <t>(1)    modal share %</t>
  </si>
  <si>
    <t>(2)</t>
  </si>
  <si>
    <t>-</t>
  </si>
  <si>
    <r>
      <t xml:space="preserve">Source : </t>
    </r>
    <r>
      <rPr>
        <sz val="8"/>
        <rFont val="Arial"/>
        <family val="2"/>
      </rPr>
      <t xml:space="preserve">1970-95: International Union of Public Transport, 1996-98: national statistics, study for Energy and Transport DG   </t>
    </r>
  </si>
  <si>
    <r>
      <t>Note :</t>
    </r>
    <r>
      <rPr>
        <sz val="8"/>
        <rFont val="Arial"/>
        <family val="0"/>
      </rPr>
      <t xml:space="preserve"> (1) : Passenger cars + buses and coaches + tram and metro + railways + air</t>
    </r>
  </si>
  <si>
    <r>
      <t>D:</t>
    </r>
    <r>
      <rPr>
        <sz val="8"/>
        <rFont val="Arial"/>
        <family val="2"/>
      </rPr>
      <t xml:space="preserve"> includes D-E: 1970=4.83, 1975=5.06, 1980=5.34, 1985=7.07, 1990=6.50</t>
    </r>
  </si>
  <si>
    <t>(2) Metro and RER (Réseau Express Régional)</t>
  </si>
  <si>
    <t>Passenger Transport</t>
  </si>
  <si>
    <t>3.5.5</t>
  </si>
  <si>
    <t>Powered Two-Wheelers</t>
  </si>
  <si>
    <r>
      <t>D:</t>
    </r>
    <r>
      <rPr>
        <sz val="8"/>
        <rFont val="Arial"/>
        <family val="0"/>
      </rPr>
      <t xml:space="preserve"> includes D-E : 1970=8.29,   1975=8.52,   1980=8.14,   1985=7.47,   1990=6.30</t>
    </r>
  </si>
  <si>
    <r>
      <t>Source :</t>
    </r>
    <r>
      <rPr>
        <sz val="8"/>
        <rFont val="Arial"/>
        <family val="2"/>
      </rPr>
      <t xml:space="preserve">  DGTREN pocketbook (national statistics, studies)</t>
    </r>
  </si>
  <si>
    <t>2.2.2 Passenger transport by motorbike, 1970 - 2000</t>
  </si>
  <si>
    <t>source: DGTREN pocketbook</t>
  </si>
  <si>
    <t>DGTREN Pocketbook</t>
  </si>
  <si>
    <t>2.2.5 Passenger transport by tram and metro, 1990 - 2000</t>
  </si>
  <si>
    <t>Source: SI Eurostat</t>
  </si>
  <si>
    <t>Data passenger transport and GDP in EU-15, 1991-2000</t>
  </si>
  <si>
    <t>1995=100</t>
  </si>
  <si>
    <t>Passenger car, motorcycles, bus/coach, rail, tram/metro, air (domestic, intra- and extra-European)</t>
  </si>
  <si>
    <t>DK, IRL and L do not have a tram or metro</t>
  </si>
  <si>
    <t xml:space="preserve">All SI modes </t>
  </si>
  <si>
    <t>DG TREN pocketbook</t>
  </si>
  <si>
    <t>index 1992 =100</t>
  </si>
  <si>
    <r>
      <t xml:space="preserve">Source : </t>
    </r>
    <r>
      <rPr>
        <sz val="8"/>
        <rFont val="Arial"/>
        <family val="2"/>
      </rPr>
      <t xml:space="preserve">study for Energy and Transport DG   </t>
    </r>
  </si>
  <si>
    <r>
      <t xml:space="preserve">Source : </t>
    </r>
    <r>
      <rPr>
        <sz val="8"/>
        <rFont val="Arial"/>
        <family val="2"/>
      </rPr>
      <t xml:space="preserve">study for Energy and Transport DG, DGTREN pocketbook   </t>
    </r>
  </si>
  <si>
    <t>1992-2000</t>
  </si>
  <si>
    <t>3.5.17</t>
  </si>
  <si>
    <t>Other modes</t>
  </si>
  <si>
    <t>1999-2000</t>
  </si>
  <si>
    <t>based on all sheets in this excel file</t>
  </si>
  <si>
    <t>1991-2000 unless other mentioned</t>
  </si>
  <si>
    <t>Number of passenger-km per capita on average by day (all SI-modes)</t>
  </si>
  <si>
    <t>All SI modes</t>
  </si>
  <si>
    <t>Totals</t>
  </si>
  <si>
    <t>All</t>
  </si>
  <si>
    <t>Increase 1998-2000</t>
  </si>
  <si>
    <t>This file is linked to TERM 2003 00 EU+AC - Basedata.xls for GDP data (in constant 1995 prices, milliard euro) and population data</t>
  </si>
  <si>
    <t>Original file received from Eurostat (28-01-2002): passenger SI.xls</t>
  </si>
  <si>
    <r>
      <t xml:space="preserve">Eurostat, 2003. </t>
    </r>
    <r>
      <rPr>
        <i/>
        <sz val="8"/>
        <rFont val="Arial"/>
        <family val="2"/>
      </rPr>
      <t>Transport and Environment: Statistics for the Transport and Environment Reporting Mechanism (TERM) for the European Union, data 1980-2000</t>
    </r>
    <r>
      <rPr>
        <sz val="8"/>
        <rFont val="Arial"/>
        <family val="2"/>
      </rPr>
      <t>. Unpublished electronic update, January 2002.</t>
    </r>
  </si>
  <si>
    <t>European Commision, 2002. EU energy and transport in figures, Statistical pocketbook 2002</t>
  </si>
  <si>
    <t>passenger cars + buses/coahes + rail + air (dom+intra)</t>
  </si>
  <si>
    <t>passenger cars</t>
  </si>
  <si>
    <t>buses</t>
  </si>
  <si>
    <t>rail</t>
  </si>
  <si>
    <t>air(dom)</t>
  </si>
  <si>
    <t>air (intra)</t>
  </si>
  <si>
    <t>Passenger car, bus/coach, rail, air (domestic only)</t>
  </si>
  <si>
    <t>Share passenger car in passenger car, bus/coach, rail, air (domestic only)</t>
  </si>
  <si>
    <t>Share domestic aviation in passenger car, bus/coach, rail,  and domestic aviation in 1999 and 1990, ordered by share passenger car</t>
  </si>
  <si>
    <t>Share domestic air in passenger car, bus/coach, rail, air (domestic only)</t>
  </si>
  <si>
    <t>Increase 1991-2000</t>
  </si>
  <si>
    <t>Increase 1999-2000</t>
  </si>
  <si>
    <t>in/decrease</t>
  </si>
  <si>
    <t>TRAVELLING PURPOSES IN THE NETHERLANDS</t>
  </si>
  <si>
    <t>Van en naar het werk</t>
  </si>
  <si>
    <t>Zakelijk bezoek in werksfeer</t>
  </si>
  <si>
    <t>Diensten/persoonlijke verzorging</t>
  </si>
  <si>
    <t>Winkelen,boodschappen doen</t>
  </si>
  <si>
    <t>Onderwijs/cursus volgen</t>
  </si>
  <si>
    <t>Visite/logeren</t>
  </si>
  <si>
    <t>Sociaal recreatief overig</t>
  </si>
  <si>
    <t>Toeren/wandelen</t>
  </si>
  <si>
    <t>Recreatief</t>
  </si>
  <si>
    <t>Overige</t>
  </si>
  <si>
    <t>.</t>
  </si>
  <si>
    <t>Source: CBS, 2002</t>
  </si>
  <si>
    <t>Bussiness</t>
  </si>
  <si>
    <t>Education</t>
  </si>
  <si>
    <t>Visits</t>
  </si>
  <si>
    <t>Recreation</t>
  </si>
  <si>
    <t>Motieven</t>
  </si>
  <si>
    <t>Periode</t>
  </si>
  <si>
    <t>Waarde</t>
  </si>
  <si>
    <t>6,99</t>
  </si>
  <si>
    <t>7,23</t>
  </si>
  <si>
    <t>7,46</t>
  </si>
  <si>
    <t>7,79</t>
  </si>
  <si>
    <t>8,00</t>
  </si>
  <si>
    <t>8,06</t>
  </si>
  <si>
    <t>8,03</t>
  </si>
  <si>
    <t>3,28</t>
  </si>
  <si>
    <t>3,14</t>
  </si>
  <si>
    <t>3,27</t>
  </si>
  <si>
    <t>3,12</t>
  </si>
  <si>
    <t>3,15</t>
  </si>
  <si>
    <t>3,00</t>
  </si>
  <si>
    <t>3,02</t>
  </si>
  <si>
    <t>0,98</t>
  </si>
  <si>
    <t>1,02</t>
  </si>
  <si>
    <t>0,92</t>
  </si>
  <si>
    <t>3,13</t>
  </si>
  <si>
    <t>3,25</t>
  </si>
  <si>
    <t>3,06</t>
  </si>
  <si>
    <t>2,96</t>
  </si>
  <si>
    <t>3,01</t>
  </si>
  <si>
    <t>1,67</t>
  </si>
  <si>
    <t>1,64</t>
  </si>
  <si>
    <t>1,68</t>
  </si>
  <si>
    <t>1,89</t>
  </si>
  <si>
    <t>1,90</t>
  </si>
  <si>
    <t>7,03</t>
  </si>
  <si>
    <t>7,19</t>
  </si>
  <si>
    <t>7,02</t>
  </si>
  <si>
    <t>6,97</t>
  </si>
  <si>
    <t>6,87</t>
  </si>
  <si>
    <t>7,11</t>
  </si>
  <si>
    <t>2,07</t>
  </si>
  <si>
    <t>1,79</t>
  </si>
  <si>
    <t>3,47</t>
  </si>
  <si>
    <t>3,43</t>
  </si>
  <si>
    <t>3,32</t>
  </si>
  <si>
    <t>5,52</t>
  </si>
  <si>
    <t>5,39</t>
  </si>
  <si>
    <t>5,78</t>
  </si>
  <si>
    <t>5,57</t>
  </si>
  <si>
    <t>3,63</t>
  </si>
  <si>
    <t>3,73</t>
  </si>
  <si>
    <t>3,77</t>
  </si>
  <si>
    <t>3,67</t>
  </si>
  <si>
    <t>2,83</t>
  </si>
  <si>
    <t>2,88</t>
  </si>
  <si>
    <t>2,67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</si>
  <si>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</si>
  <si>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</si>
  <si>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</si>
  <si>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</si>
  <si>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</si>
  <si>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</si>
  <si>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</si>
  <si>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</si>
  <si>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</si>
  <si>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</si>
  <si>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Slovakia</t>
  </si>
  <si>
    <t>Slovenia</t>
  </si>
  <si>
    <t>yearly increase</t>
  </si>
  <si>
    <t>% growth in car pkm</t>
  </si>
  <si>
    <t>*</t>
  </si>
  <si>
    <t>Source: EEA Datawarehouse</t>
  </si>
  <si>
    <r>
      <t xml:space="preserve">1.10  Overseas travel by air: </t>
    </r>
    <r>
      <rPr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visits to and from the UK: by area and purpose: 2001 </t>
    </r>
    <r>
      <rPr>
        <vertAlign val="superscript"/>
        <sz val="16"/>
        <color indexed="8"/>
        <rFont val="Arial"/>
        <family val="2"/>
      </rPr>
      <t>2</t>
    </r>
  </si>
  <si>
    <t/>
  </si>
  <si>
    <t>(a) Visits to the United Kingdom: overseas residents by area of residence</t>
  </si>
  <si>
    <t>Thousands</t>
  </si>
  <si>
    <t>North America</t>
  </si>
  <si>
    <t xml:space="preserve">EC </t>
  </si>
  <si>
    <t xml:space="preserve"> Western Europe</t>
  </si>
  <si>
    <t>Other areas</t>
  </si>
  <si>
    <t>All areas</t>
  </si>
  <si>
    <t>Business visit</t>
  </si>
  <si>
    <r>
      <t xml:space="preserve">Holiday Independent </t>
    </r>
    <r>
      <rPr>
        <vertAlign val="superscript"/>
        <sz val="10"/>
        <color indexed="8"/>
        <rFont val="Arial"/>
        <family val="2"/>
      </rPr>
      <t>3</t>
    </r>
  </si>
  <si>
    <r>
      <t xml:space="preserve">Holiday Inclusive tour </t>
    </r>
    <r>
      <rPr>
        <vertAlign val="superscript"/>
        <sz val="10"/>
        <color indexed="8"/>
        <rFont val="Arial"/>
        <family val="2"/>
      </rPr>
      <t>4</t>
    </r>
  </si>
  <si>
    <t>Visiting friends and relatives</t>
  </si>
  <si>
    <t>Miscellaneous</t>
  </si>
  <si>
    <t xml:space="preserve">(b) Visits abroad by United Kingdom residents: by area visited </t>
  </si>
  <si>
    <t>1  Excludes passengers changing planes at UK airports; these are included in table 1.12.</t>
  </si>
  <si>
    <r>
      <t>(</t>
    </r>
    <r>
      <rPr>
        <sz val="12"/>
        <color indexed="8"/>
        <rFont val="Arial"/>
        <family val="2"/>
      </rPr>
      <t>020-7944 3088</t>
    </r>
  </si>
  <si>
    <t>2  Provisional data.</t>
  </si>
  <si>
    <t>Source - International Passenger Survey, ONS</t>
  </si>
  <si>
    <t>3  Not on a package holiday.</t>
  </si>
  <si>
    <t>4  Excludes fly-cruise package holidays, which are included under 'Sea' in table 1.11.</t>
  </si>
  <si>
    <t>veh own. vs pkm growth</t>
  </si>
  <si>
    <t xml:space="preserve">Holiday Independent </t>
  </si>
  <si>
    <t xml:space="preserve">Holiday Inclusive tour </t>
  </si>
  <si>
    <t>Source: http://www.transtat.dft.gov.uk/</t>
  </si>
  <si>
    <t>Shares of modes in passenger transport (EU15)</t>
  </si>
  <si>
    <t>All modes by country and per capita in 1991 and 2000</t>
  </si>
  <si>
    <t>EU</t>
  </si>
  <si>
    <t>North America (11 %)</t>
  </si>
  <si>
    <t>EC           (65 %)</t>
  </si>
  <si>
    <t xml:space="preserve"> Other Western Europe (9 %)</t>
  </si>
  <si>
    <t>Other areas (15 %)</t>
  </si>
  <si>
    <t>1990-2000</t>
  </si>
  <si>
    <t>For bus/coach transport, missing data from Belgium taken from TERM 2002</t>
  </si>
  <si>
    <t>2.2.3 Passenger transport by passenger car, 1991 - 2000</t>
  </si>
  <si>
    <t>bus tranport per capita</t>
  </si>
  <si>
    <t xml:space="preserve"> Passenger transport by bus and coach, 1990 - 2001</t>
  </si>
  <si>
    <t>1994-2000</t>
  </si>
  <si>
    <t>tram/metro</t>
  </si>
  <si>
    <t>motorbike</t>
  </si>
  <si>
    <t>air</t>
  </si>
  <si>
    <t>bus/coach</t>
  </si>
  <si>
    <t>road</t>
  </si>
  <si>
    <t>Passenger transport by the main transport modes in 2000 (1000 million pkm)</t>
  </si>
  <si>
    <t>Share passenger car in passenger car, bus/coach, rail,  and domestic aviation in 1991 and 2000, ordered by share passenger car</t>
  </si>
  <si>
    <t>Share rail in passenger car, bus/coach, rail, air (domestic only)</t>
  </si>
  <si>
    <t>Share bus in passenger car, bus/coach, rail, air (domestic only)</t>
  </si>
  <si>
    <t>Shares of modes in passenger transport demand in 2000</t>
  </si>
  <si>
    <t>Dom. air</t>
  </si>
  <si>
    <t>control</t>
  </si>
  <si>
    <t>domestic + intra-Eu</t>
  </si>
</sst>
</file>

<file path=xl/styles.xml><?xml version="1.0" encoding="utf-8"?>
<styleSheet xmlns="http://schemas.openxmlformats.org/spreadsheetml/2006/main">
  <numFmts count="3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;\-0.0;\–"/>
    <numFmt numFmtId="173" formatCode="0.0"/>
    <numFmt numFmtId="174" formatCode="#,##0.0"/>
    <numFmt numFmtId="175" formatCode="0.0%"/>
    <numFmt numFmtId="176" formatCode="0.0&quot;*&quot;;\-0.0;\–"/>
    <numFmt numFmtId="177" formatCode="#,##0;\-#,##0;\–"/>
    <numFmt numFmtId="178" formatCode="0%;\-0,%;\-"/>
    <numFmt numFmtId="179" formatCode="#\ ##0.0"/>
    <numFmt numFmtId="180" formatCode="\(0\)"/>
    <numFmt numFmtId="181" formatCode="0.0\ "/>
    <numFmt numFmtId="182" formatCode="0.00\ "/>
    <numFmt numFmtId="183" formatCode="####"/>
    <numFmt numFmtId="184" formatCode="#\ ##0\ \ "/>
    <numFmt numFmtId="185" formatCode="General_)"/>
    <numFmt numFmtId="186" formatCode="0.0\ %"/>
    <numFmt numFmtId="187" formatCode="0\ %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Helvetica-Narrow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0"/>
      <name val="Helvetica"/>
      <family val="0"/>
    </font>
    <font>
      <sz val="10"/>
      <name val="Helvetica"/>
      <family val="0"/>
    </font>
    <font>
      <b/>
      <sz val="7.5"/>
      <name val="Helvetica"/>
      <family val="0"/>
    </font>
    <font>
      <sz val="7.5"/>
      <name val="Helvetica"/>
      <family val="0"/>
    </font>
    <font>
      <i/>
      <sz val="7.5"/>
      <name val="Helvetica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2.25"/>
      <name val="Arial"/>
      <family val="0"/>
    </font>
    <font>
      <b/>
      <i/>
      <sz val="8"/>
      <name val="Arial"/>
      <family val="2"/>
    </font>
    <font>
      <sz val="10"/>
      <name val="Wingdings"/>
      <family val="0"/>
    </font>
    <font>
      <sz val="15.75"/>
      <name val="Arial"/>
      <family val="2"/>
    </font>
    <font>
      <sz val="16.5"/>
      <name val="Arial"/>
      <family val="2"/>
    </font>
    <font>
      <sz val="16"/>
      <name val="Arial"/>
      <family val="2"/>
    </font>
    <font>
      <sz val="8"/>
      <name val="Tahoma"/>
      <family val="0"/>
    </font>
    <font>
      <sz val="16.25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6"/>
      <color indexed="8"/>
      <name val="Tms Rmn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Tms Rmn"/>
      <family val="0"/>
    </font>
    <font>
      <sz val="8"/>
      <color indexed="8"/>
      <name val="Tms Rmn"/>
      <family val="0"/>
    </font>
    <font>
      <sz val="8.75"/>
      <name val="Arial"/>
      <family val="0"/>
    </font>
    <font>
      <sz val="10.25"/>
      <name val="Arial"/>
      <family val="0"/>
    </font>
    <font>
      <sz val="17.25"/>
      <name val="Arial"/>
      <family val="2"/>
    </font>
    <font>
      <b/>
      <sz val="15.7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2" fontId="3" fillId="0" borderId="0" xfId="0" applyNumberFormat="1" applyFont="1" applyAlignment="1">
      <alignment horizontal="right"/>
    </xf>
    <xf numFmtId="172" fontId="3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3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/>
    </xf>
    <xf numFmtId="174" fontId="3" fillId="0" borderId="0" xfId="0" applyNumberFormat="1" applyFont="1" applyAlignment="1">
      <alignment horizontal="right"/>
    </xf>
    <xf numFmtId="174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19" applyFont="1" applyBorder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3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9" fontId="3" fillId="0" borderId="0" xfId="2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7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7" xfId="0" applyFont="1" applyBorder="1" applyAlignment="1">
      <alignment horizontal="left"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/>
    </xf>
    <xf numFmtId="175" fontId="3" fillId="0" borderId="0" xfId="0" applyNumberFormat="1" applyFont="1" applyFill="1" applyBorder="1" applyAlignment="1">
      <alignment horizontal="right"/>
    </xf>
    <xf numFmtId="175" fontId="3" fillId="0" borderId="0" xfId="20" applyNumberFormat="1" applyFont="1" applyFill="1" applyBorder="1" applyAlignment="1">
      <alignment horizontal="right"/>
    </xf>
    <xf numFmtId="175" fontId="3" fillId="0" borderId="0" xfId="20" applyNumberFormat="1" applyFont="1" applyFill="1" applyBorder="1" applyAlignment="1">
      <alignment horizontal="left"/>
    </xf>
    <xf numFmtId="175" fontId="3" fillId="0" borderId="0" xfId="20" applyNumberFormat="1" applyFont="1" applyBorder="1" applyAlignment="1">
      <alignment/>
    </xf>
    <xf numFmtId="10" fontId="3" fillId="0" borderId="0" xfId="20" applyNumberFormat="1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175" fontId="3" fillId="0" borderId="0" xfId="20" applyNumberFormat="1" applyFont="1" applyFill="1" applyBorder="1" applyAlignment="1">
      <alignment/>
    </xf>
    <xf numFmtId="9" fontId="3" fillId="0" borderId="0" xfId="20" applyFont="1" applyAlignment="1">
      <alignment/>
    </xf>
    <xf numFmtId="9" fontId="3" fillId="0" borderId="0" xfId="20" applyFont="1" applyBorder="1" applyAlignment="1">
      <alignment horizontal="right"/>
    </xf>
    <xf numFmtId="9" fontId="3" fillId="0" borderId="0" xfId="20" applyFont="1" applyBorder="1" applyAlignment="1">
      <alignment/>
    </xf>
    <xf numFmtId="9" fontId="3" fillId="0" borderId="0" xfId="20" applyNumberFormat="1" applyFont="1" applyFill="1" applyBorder="1" applyAlignment="1">
      <alignment horizontal="right"/>
    </xf>
    <xf numFmtId="175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4" borderId="4" xfId="0" applyFont="1" applyFill="1" applyBorder="1" applyAlignment="1">
      <alignment/>
    </xf>
    <xf numFmtId="0" fontId="15" fillId="5" borderId="4" xfId="0" applyFont="1" applyFill="1" applyBorder="1" applyAlignment="1">
      <alignment/>
    </xf>
    <xf numFmtId="0" fontId="15" fillId="6" borderId="4" xfId="0" applyFont="1" applyFill="1" applyBorder="1" applyAlignment="1">
      <alignment/>
    </xf>
    <xf numFmtId="0" fontId="15" fillId="4" borderId="4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5" fontId="3" fillId="0" borderId="0" xfId="0" applyNumberFormat="1" applyFont="1" applyAlignment="1">
      <alignment horizontal="right"/>
    </xf>
    <xf numFmtId="9" fontId="3" fillId="0" borderId="0" xfId="20" applyFont="1" applyAlignment="1">
      <alignment horizontal="right"/>
    </xf>
    <xf numFmtId="175" fontId="3" fillId="0" borderId="0" xfId="20" applyNumberFormat="1" applyFont="1" applyAlignment="1">
      <alignment horizontal="right"/>
    </xf>
    <xf numFmtId="9" fontId="3" fillId="0" borderId="0" xfId="2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20" applyFont="1" applyBorder="1" applyAlignment="1">
      <alignment/>
    </xf>
    <xf numFmtId="9" fontId="5" fillId="0" borderId="0" xfId="20" applyFont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9" fontId="2" fillId="0" borderId="0" xfId="20" applyFont="1" applyFill="1" applyBorder="1" applyAlignment="1">
      <alignment horizontal="right"/>
    </xf>
    <xf numFmtId="173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 horizontal="right"/>
    </xf>
    <xf numFmtId="178" fontId="3" fillId="0" borderId="0" xfId="2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/>
    </xf>
    <xf numFmtId="0" fontId="24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left"/>
    </xf>
    <xf numFmtId="179" fontId="3" fillId="0" borderId="0" xfId="2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79" fontId="15" fillId="0" borderId="0" xfId="0" applyNumberFormat="1" applyFont="1" applyAlignment="1">
      <alignment/>
    </xf>
    <xf numFmtId="179" fontId="15" fillId="4" borderId="4" xfId="0" applyNumberFormat="1" applyFont="1" applyFill="1" applyBorder="1" applyAlignment="1">
      <alignment/>
    </xf>
    <xf numFmtId="179" fontId="15" fillId="5" borderId="4" xfId="0" applyNumberFormat="1" applyFont="1" applyFill="1" applyBorder="1" applyAlignment="1">
      <alignment/>
    </xf>
    <xf numFmtId="179" fontId="15" fillId="6" borderId="4" xfId="0" applyNumberFormat="1" applyFont="1" applyFill="1" applyBorder="1" applyAlignment="1">
      <alignment/>
    </xf>
    <xf numFmtId="1" fontId="15" fillId="4" borderId="4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179" fontId="15" fillId="4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7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49" fontId="3" fillId="7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3" fontId="2" fillId="7" borderId="9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73" fontId="3" fillId="0" borderId="2" xfId="0" applyNumberFormat="1" applyFont="1" applyBorder="1" applyAlignment="1">
      <alignment horizontal="center" vertical="center"/>
    </xf>
    <xf numFmtId="173" fontId="2" fillId="7" borderId="4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center"/>
    </xf>
    <xf numFmtId="173" fontId="17" fillId="7" borderId="4" xfId="0" applyNumberFormat="1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/>
    </xf>
    <xf numFmtId="173" fontId="17" fillId="7" borderId="9" xfId="0" applyNumberFormat="1" applyFont="1" applyFill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3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173" fontId="3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173" fontId="3" fillId="0" borderId="7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73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 wrapText="1"/>
    </xf>
    <xf numFmtId="9" fontId="26" fillId="0" borderId="13" xfId="0" applyNumberFormat="1" applyFont="1" applyBorder="1" applyAlignment="1" quotePrefix="1">
      <alignment horizontal="center" vertical="center" wrapText="1"/>
    </xf>
    <xf numFmtId="1" fontId="26" fillId="0" borderId="9" xfId="0" applyNumberFormat="1" applyFont="1" applyBorder="1" applyAlignment="1">
      <alignment horizontal="center" vertical="center" wrapText="1"/>
    </xf>
    <xf numFmtId="9" fontId="26" fillId="0" borderId="7" xfId="0" applyNumberFormat="1" applyFont="1" applyBorder="1" applyAlignment="1" quotePrefix="1">
      <alignment horizontal="center" vertical="center" wrapText="1"/>
    </xf>
    <xf numFmtId="1" fontId="5" fillId="0" borderId="0" xfId="0" applyNumberFormat="1" applyFont="1" applyFill="1" applyBorder="1" applyAlignment="1" quotePrefix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1" fontId="17" fillId="0" borderId="0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173" fontId="25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1" fontId="17" fillId="7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82" fontId="3" fillId="0" borderId="6" xfId="0" applyNumberFormat="1" applyFont="1" applyFill="1" applyBorder="1" applyAlignment="1">
      <alignment horizontal="right" vertical="center"/>
    </xf>
    <xf numFmtId="181" fontId="2" fillId="7" borderId="4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 quotePrefix="1">
      <alignment horizontal="center"/>
    </xf>
    <xf numFmtId="1" fontId="5" fillId="0" borderId="14" xfId="0" applyNumberFormat="1" applyFont="1" applyFill="1" applyBorder="1" applyAlignment="1" quotePrefix="1">
      <alignment horizontal="center"/>
    </xf>
    <xf numFmtId="1" fontId="17" fillId="3" borderId="4" xfId="0" applyNumberFormat="1" applyFont="1" applyFill="1" applyBorder="1" applyAlignment="1" quotePrefix="1">
      <alignment horizontal="center"/>
    </xf>
    <xf numFmtId="18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18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vertical="center"/>
    </xf>
    <xf numFmtId="1" fontId="2" fillId="7" borderId="8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center"/>
    </xf>
    <xf numFmtId="181" fontId="17" fillId="7" borderId="8" xfId="0" applyNumberFormat="1" applyFont="1" applyFill="1" applyBorder="1" applyAlignment="1">
      <alignment horizontal="right" vertical="center"/>
    </xf>
    <xf numFmtId="183" fontId="2" fillId="7" borderId="0" xfId="0" applyNumberFormat="1" applyFont="1" applyFill="1" applyBorder="1" applyAlignment="1">
      <alignment horizontal="center"/>
    </xf>
    <xf numFmtId="1" fontId="17" fillId="3" borderId="0" xfId="0" applyNumberFormat="1" applyFont="1" applyFill="1" applyBorder="1" applyAlignment="1" quotePrefix="1">
      <alignment horizontal="center"/>
    </xf>
    <xf numFmtId="174" fontId="27" fillId="0" borderId="0" xfId="0" applyNumberFormat="1" applyFont="1" applyBorder="1" applyAlignment="1">
      <alignment horizontal="right"/>
    </xf>
    <xf numFmtId="9" fontId="3" fillId="0" borderId="0" xfId="20" applyFont="1" applyFill="1" applyAlignment="1">
      <alignment/>
    </xf>
    <xf numFmtId="0" fontId="3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9" fontId="3" fillId="0" borderId="0" xfId="20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179" fontId="3" fillId="4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right"/>
    </xf>
    <xf numFmtId="173" fontId="3" fillId="3" borderId="0" xfId="0" applyNumberFormat="1" applyFont="1" applyFill="1" applyAlignment="1">
      <alignment horizontal="right"/>
    </xf>
    <xf numFmtId="179" fontId="3" fillId="3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74" fontId="27" fillId="3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 quotePrefix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181" fontId="5" fillId="0" borderId="6" xfId="0" applyNumberFormat="1" applyFont="1" applyFill="1" applyBorder="1" applyAlignment="1">
      <alignment horizontal="center" vertical="center"/>
    </xf>
    <xf numFmtId="181" fontId="5" fillId="0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/>
    </xf>
    <xf numFmtId="1" fontId="5" fillId="0" borderId="3" xfId="0" applyNumberFormat="1" applyFont="1" applyFill="1" applyBorder="1" applyAlignment="1" quotePrefix="1">
      <alignment horizontal="center"/>
    </xf>
    <xf numFmtId="0" fontId="3" fillId="0" borderId="1" xfId="0" applyFont="1" applyBorder="1" applyAlignment="1" quotePrefix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4" borderId="0" xfId="19" applyFont="1" applyFill="1" applyBorder="1" applyAlignment="1">
      <alignment horizontal="right"/>
      <protection/>
    </xf>
    <xf numFmtId="0" fontId="2" fillId="0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75" fontId="17" fillId="0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10" fontId="3" fillId="0" borderId="0" xfId="2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175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5" fontId="2" fillId="0" borderId="0" xfId="20" applyNumberFormat="1" applyFont="1" applyFill="1" applyBorder="1" applyAlignment="1">
      <alignment horizontal="right"/>
    </xf>
    <xf numFmtId="175" fontId="28" fillId="0" borderId="0" xfId="20" applyNumberFormat="1" applyFont="1" applyFill="1" applyBorder="1" applyAlignment="1">
      <alignment horizontal="right"/>
    </xf>
    <xf numFmtId="179" fontId="15" fillId="4" borderId="0" xfId="0" applyNumberFormat="1" applyFont="1" applyFill="1" applyAlignment="1">
      <alignment/>
    </xf>
    <xf numFmtId="2" fontId="3" fillId="0" borderId="0" xfId="2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75" fontId="0" fillId="0" borderId="15" xfId="0" applyNumberFormat="1" applyBorder="1" applyAlignment="1">
      <alignment horizontal="right" wrapText="1"/>
    </xf>
    <xf numFmtId="9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85" fontId="29" fillId="8" borderId="0" xfId="0" applyNumberFormat="1" applyFont="1" applyFill="1" applyAlignment="1" applyProtection="1" quotePrefix="1">
      <alignment horizontal="left"/>
      <protection/>
    </xf>
    <xf numFmtId="185" fontId="31" fillId="8" borderId="0" xfId="0" applyNumberFormat="1" applyFont="1" applyFill="1" applyAlignment="1">
      <alignment/>
    </xf>
    <xf numFmtId="185" fontId="32" fillId="8" borderId="0" xfId="0" applyNumberFormat="1" applyFont="1" applyFill="1" applyAlignment="1" applyProtection="1" quotePrefix="1">
      <alignment horizontal="left"/>
      <protection/>
    </xf>
    <xf numFmtId="185" fontId="33" fillId="8" borderId="0" xfId="0" applyNumberFormat="1" applyFont="1" applyFill="1" applyAlignment="1">
      <alignment/>
    </xf>
    <xf numFmtId="185" fontId="31" fillId="8" borderId="0" xfId="0" applyNumberFormat="1" applyFont="1" applyFill="1" applyAlignment="1" quotePrefix="1">
      <alignment horizontal="left"/>
    </xf>
    <xf numFmtId="185" fontId="34" fillId="8" borderId="17" xfId="0" applyNumberFormat="1" applyFont="1" applyFill="1" applyBorder="1" applyAlignment="1" quotePrefix="1">
      <alignment horizontal="left"/>
    </xf>
    <xf numFmtId="185" fontId="34" fillId="8" borderId="17" xfId="0" applyNumberFormat="1" applyFont="1" applyFill="1" applyBorder="1" applyAlignment="1">
      <alignment/>
    </xf>
    <xf numFmtId="185" fontId="34" fillId="8" borderId="0" xfId="0" applyNumberFormat="1" applyFont="1" applyFill="1" applyAlignment="1" quotePrefix="1">
      <alignment horizontal="left"/>
    </xf>
    <xf numFmtId="185" fontId="34" fillId="8" borderId="0" xfId="0" applyNumberFormat="1" applyFont="1" applyFill="1" applyAlignment="1">
      <alignment/>
    </xf>
    <xf numFmtId="185" fontId="35" fillId="8" borderId="0" xfId="0" applyNumberFormat="1" applyFont="1" applyFill="1" applyAlignment="1" applyProtection="1" quotePrefix="1">
      <alignment horizontal="left"/>
      <protection/>
    </xf>
    <xf numFmtId="185" fontId="35" fillId="8" borderId="0" xfId="0" applyNumberFormat="1" applyFont="1" applyFill="1" applyAlignment="1">
      <alignment/>
    </xf>
    <xf numFmtId="1" fontId="35" fillId="8" borderId="0" xfId="0" applyNumberFormat="1" applyFont="1" applyFill="1" applyAlignment="1" applyProtection="1" quotePrefix="1">
      <alignment horizontal="right"/>
      <protection/>
    </xf>
    <xf numFmtId="185" fontId="35" fillId="8" borderId="18" xfId="0" applyNumberFormat="1" applyFont="1" applyFill="1" applyBorder="1" applyAlignment="1">
      <alignment/>
    </xf>
    <xf numFmtId="185" fontId="35" fillId="8" borderId="0" xfId="0" applyNumberFormat="1" applyFont="1" applyFill="1" applyAlignment="1">
      <alignment horizontal="right"/>
    </xf>
    <xf numFmtId="185" fontId="35" fillId="8" borderId="0" xfId="0" applyNumberFormat="1" applyFont="1" applyFill="1" applyAlignment="1" applyProtection="1">
      <alignment horizontal="right"/>
      <protection/>
    </xf>
    <xf numFmtId="185" fontId="34" fillId="8" borderId="6" xfId="0" applyNumberFormat="1" applyFont="1" applyFill="1" applyBorder="1" applyAlignment="1">
      <alignment/>
    </xf>
    <xf numFmtId="185" fontId="34" fillId="8" borderId="18" xfId="0" applyNumberFormat="1" applyFont="1" applyFill="1" applyBorder="1" applyAlignment="1">
      <alignment/>
    </xf>
    <xf numFmtId="185" fontId="34" fillId="8" borderId="0" xfId="0" applyNumberFormat="1" applyFont="1" applyFill="1" applyBorder="1" applyAlignment="1">
      <alignment/>
    </xf>
    <xf numFmtId="1" fontId="35" fillId="8" borderId="6" xfId="0" applyNumberFormat="1" applyFont="1" applyFill="1" applyBorder="1" applyAlignment="1" applyProtection="1" quotePrefix="1">
      <alignment horizontal="right"/>
      <protection/>
    </xf>
    <xf numFmtId="185" fontId="34" fillId="8" borderId="0" xfId="0" applyNumberFormat="1" applyFont="1" applyFill="1" applyAlignment="1" applyProtection="1" quotePrefix="1">
      <alignment horizontal="left"/>
      <protection/>
    </xf>
    <xf numFmtId="37" fontId="34" fillId="8" borderId="0" xfId="17" applyNumberFormat="1" applyFont="1" applyFill="1" applyAlignment="1" applyProtection="1" quotePrefix="1">
      <alignment horizontal="right" wrapText="1"/>
      <protection/>
    </xf>
    <xf numFmtId="37" fontId="34" fillId="8" borderId="0" xfId="17" applyNumberFormat="1" applyFont="1" applyFill="1" applyAlignment="1">
      <alignment horizontal="right" wrapText="1"/>
    </xf>
    <xf numFmtId="37" fontId="34" fillId="8" borderId="0" xfId="17" applyNumberFormat="1" applyFont="1" applyFill="1" applyAlignment="1">
      <alignment horizontal="right"/>
    </xf>
    <xf numFmtId="1" fontId="34" fillId="8" borderId="0" xfId="0" applyNumberFormat="1" applyFont="1" applyFill="1" applyAlignment="1">
      <alignment/>
    </xf>
    <xf numFmtId="185" fontId="34" fillId="8" borderId="19" xfId="0" applyNumberFormat="1" applyFont="1" applyFill="1" applyBorder="1" applyAlignment="1">
      <alignment/>
    </xf>
    <xf numFmtId="1" fontId="34" fillId="8" borderId="19" xfId="0" applyNumberFormat="1" applyFont="1" applyFill="1" applyBorder="1" applyAlignment="1">
      <alignment/>
    </xf>
    <xf numFmtId="1" fontId="35" fillId="8" borderId="0" xfId="0" applyNumberFormat="1" applyFont="1" applyFill="1" applyAlignment="1">
      <alignment/>
    </xf>
    <xf numFmtId="1" fontId="35" fillId="8" borderId="0" xfId="0" applyNumberFormat="1" applyFont="1" applyFill="1" applyAlignment="1" applyProtection="1" quotePrefix="1">
      <alignment horizontal="right" wrapText="1"/>
      <protection/>
    </xf>
    <xf numFmtId="185" fontId="35" fillId="8" borderId="19" xfId="0" applyNumberFormat="1" applyFont="1" applyFill="1" applyBorder="1" applyAlignment="1">
      <alignment/>
    </xf>
    <xf numFmtId="1" fontId="35" fillId="8" borderId="19" xfId="0" applyNumberFormat="1" applyFont="1" applyFill="1" applyBorder="1" applyAlignment="1">
      <alignment horizontal="right"/>
    </xf>
    <xf numFmtId="1" fontId="35" fillId="8" borderId="0" xfId="0" applyNumberFormat="1" applyFont="1" applyFill="1" applyAlignment="1">
      <alignment horizontal="right"/>
    </xf>
    <xf numFmtId="1" fontId="35" fillId="8" borderId="0" xfId="0" applyNumberFormat="1" applyFont="1" applyFill="1" applyAlignment="1" applyProtection="1">
      <alignment horizontal="right"/>
      <protection/>
    </xf>
    <xf numFmtId="1" fontId="34" fillId="8" borderId="18" xfId="0" applyNumberFormat="1" applyFont="1" applyFill="1" applyBorder="1" applyAlignment="1">
      <alignment/>
    </xf>
    <xf numFmtId="1" fontId="34" fillId="8" borderId="0" xfId="0" applyNumberFormat="1" applyFont="1" applyFill="1" applyBorder="1" applyAlignment="1">
      <alignment/>
    </xf>
    <xf numFmtId="185" fontId="37" fillId="8" borderId="17" xfId="0" applyNumberFormat="1" applyFont="1" applyFill="1" applyBorder="1" applyAlignment="1">
      <alignment/>
    </xf>
    <xf numFmtId="185" fontId="37" fillId="8" borderId="0" xfId="0" applyNumberFormat="1" applyFont="1" applyFill="1" applyBorder="1" applyAlignment="1">
      <alignment/>
    </xf>
    <xf numFmtId="185" fontId="37" fillId="8" borderId="0" xfId="0" applyNumberFormat="1" applyFont="1" applyFill="1" applyAlignment="1" applyProtection="1">
      <alignment horizontal="left"/>
      <protection/>
    </xf>
    <xf numFmtId="185" fontId="37" fillId="8" borderId="0" xfId="0" applyNumberFormat="1" applyFont="1" applyFill="1" applyAlignment="1">
      <alignment/>
    </xf>
    <xf numFmtId="185" fontId="37" fillId="8" borderId="0" xfId="0" applyNumberFormat="1" applyFont="1" applyFill="1" applyAlignment="1">
      <alignment horizontal="centerContinuous"/>
    </xf>
    <xf numFmtId="185" fontId="38" fillId="8" borderId="0" xfId="0" applyNumberFormat="1" applyFont="1" applyFill="1" applyAlignment="1">
      <alignment horizontal="center"/>
    </xf>
    <xf numFmtId="185" fontId="38" fillId="8" borderId="0" xfId="0" applyNumberFormat="1" applyFont="1" applyFill="1" applyAlignment="1" applyProtection="1" quotePrefix="1">
      <alignment horizontal="right"/>
      <protection/>
    </xf>
    <xf numFmtId="185" fontId="37" fillId="8" borderId="0" xfId="0" applyNumberFormat="1" applyFont="1" applyFill="1" applyAlignment="1" applyProtection="1" quotePrefix="1">
      <alignment horizontal="right"/>
      <protection/>
    </xf>
    <xf numFmtId="0" fontId="31" fillId="8" borderId="0" xfId="0" applyFont="1" applyFill="1" applyAlignment="1">
      <alignment/>
    </xf>
    <xf numFmtId="185" fontId="37" fillId="8" borderId="0" xfId="0" applyNumberFormat="1" applyFont="1" applyFill="1" applyAlignment="1" applyProtection="1">
      <alignment horizontal="right"/>
      <protection/>
    </xf>
    <xf numFmtId="185" fontId="39" fillId="8" borderId="0" xfId="0" applyNumberFormat="1" applyFont="1" applyFill="1" applyAlignment="1">
      <alignment/>
    </xf>
    <xf numFmtId="185" fontId="39" fillId="8" borderId="0" xfId="0" applyNumberFormat="1" applyFont="1" applyFill="1" applyAlignment="1">
      <alignment horizontal="centerContinuous"/>
    </xf>
    <xf numFmtId="185" fontId="40" fillId="8" borderId="0" xfId="0" applyNumberFormat="1" applyFont="1" applyFill="1" applyAlignment="1">
      <alignment horizontal="right"/>
    </xf>
    <xf numFmtId="185" fontId="28" fillId="8" borderId="0" xfId="0" applyNumberFormat="1" applyFont="1" applyFill="1" applyAlignment="1">
      <alignment/>
    </xf>
    <xf numFmtId="175" fontId="34" fillId="8" borderId="0" xfId="17" applyNumberFormat="1" applyFont="1" applyFill="1" applyAlignment="1" applyProtection="1" quotePrefix="1">
      <alignment horizontal="right" wrapText="1"/>
      <protection/>
    </xf>
    <xf numFmtId="1" fontId="3" fillId="0" borderId="0" xfId="0" applyNumberFormat="1" applyFont="1" applyFill="1" applyBorder="1" applyAlignment="1">
      <alignment horizontal="right"/>
    </xf>
    <xf numFmtId="179" fontId="3" fillId="6" borderId="0" xfId="0" applyNumberFormat="1" applyFont="1" applyFill="1" applyAlignment="1">
      <alignment/>
    </xf>
    <xf numFmtId="175" fontId="5" fillId="0" borderId="0" xfId="0" applyNumberFormat="1" applyFont="1" applyAlignment="1">
      <alignment/>
    </xf>
    <xf numFmtId="175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9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26" fillId="0" borderId="8" xfId="0" applyNumberFormat="1" applyFont="1" applyBorder="1" applyAlignment="1">
      <alignment horizontal="center" vertical="center" wrapText="1"/>
    </xf>
    <xf numFmtId="1" fontId="26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0" xfId="16" applyBorder="1" applyAlignment="1">
      <alignment horizontal="center" vertical="center" wrapText="1"/>
    </xf>
    <xf numFmtId="0" fontId="8" fillId="0" borderId="21" xfId="16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3" fillId="0" borderId="0" xfId="0" applyNumberFormat="1" applyFont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TERM7_tables" xfId="19"/>
    <cellStyle name="Percent" xfId="20"/>
    <cellStyle name="Currency" xfId="21"/>
    <cellStyle name="Currency [0]" xfId="22"/>
  </cellStyles>
  <dxfs count="3">
    <dxf>
      <font>
        <color rgb="FF008000"/>
      </font>
      <border/>
    </dxf>
    <dxf>
      <font>
        <strike val="0"/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worksheet" Target="worksheets/sheet19.xml" /><Relationship Id="rId25" Type="http://schemas.openxmlformats.org/officeDocument/2006/relationships/worksheet" Target="worksheets/sheet20.xml" /><Relationship Id="rId26" Type="http://schemas.openxmlformats.org/officeDocument/2006/relationships/worksheet" Target="worksheets/sheet21.xml" /><Relationship Id="rId27" Type="http://schemas.openxmlformats.org/officeDocument/2006/relationships/worksheet" Target="worksheets/sheet22.xml" /><Relationship Id="rId28" Type="http://schemas.openxmlformats.org/officeDocument/2006/relationships/worksheet" Target="worksheets/sheet23.xml" /><Relationship Id="rId29" Type="http://schemas.openxmlformats.org/officeDocument/2006/relationships/worksheet" Target="worksheets/sheet24.xml" /><Relationship Id="rId30" Type="http://schemas.openxmlformats.org/officeDocument/2006/relationships/worksheet" Target="worksheets/sheet25.xml" /><Relationship Id="rId31" Type="http://schemas.openxmlformats.org/officeDocument/2006/relationships/worksheet" Target="worksheets/sheet26.xml" /><Relationship Id="rId32" Type="http://schemas.openxmlformats.org/officeDocument/2006/relationships/worksheet" Target="worksheets/sheet27.xml" /><Relationship Id="rId33" Type="http://schemas.openxmlformats.org/officeDocument/2006/relationships/worksheet" Target="worksheets/sheet28.xml" /><Relationship Id="rId34" Type="http://schemas.openxmlformats.org/officeDocument/2006/relationships/worksheet" Target="worksheets/sheet29.xml" /><Relationship Id="rId35" Type="http://schemas.openxmlformats.org/officeDocument/2006/relationships/worksheet" Target="worksheets/sheet30.xml" /><Relationship Id="rId36" Type="http://schemas.openxmlformats.org/officeDocument/2006/relationships/worksheet" Target="worksheets/sheet31.xml" /><Relationship Id="rId37" Type="http://schemas.openxmlformats.org/officeDocument/2006/relationships/worksheet" Target="worksheets/sheet32.xml" /><Relationship Id="rId38" Type="http://schemas.openxmlformats.org/officeDocument/2006/relationships/worksheet" Target="worksheets/sheet33.xml" /><Relationship Id="rId39" Type="http://schemas.openxmlformats.org/officeDocument/2006/relationships/worksheet" Target="worksheets/sheet34.xml" /><Relationship Id="rId40" Type="http://schemas.openxmlformats.org/officeDocument/2006/relationships/worksheet" Target="worksheets/sheet35.xml" /><Relationship Id="rId41" Type="http://schemas.openxmlformats.org/officeDocument/2006/relationships/worksheet" Target="worksheets/sheet36.xml" /><Relationship Id="rId42" Type="http://schemas.openxmlformats.org/officeDocument/2006/relationships/worksheet" Target="worksheets/sheet37.xml" /><Relationship Id="rId43" Type="http://schemas.openxmlformats.org/officeDocument/2006/relationships/chartsheet" Target="chartsheets/sheet6.xml" /><Relationship Id="rId44" Type="http://schemas.openxmlformats.org/officeDocument/2006/relationships/worksheet" Target="worksheets/sheet38.xml" /><Relationship Id="rId45" Type="http://schemas.openxmlformats.org/officeDocument/2006/relationships/worksheet" Target="worksheets/sheet39.xml" /><Relationship Id="rId46" Type="http://schemas.openxmlformats.org/officeDocument/2006/relationships/worksheet" Target="worksheets/sheet40.xml" /><Relationship Id="rId47" Type="http://schemas.openxmlformats.org/officeDocument/2006/relationships/chartsheet" Target="chartsheets/sheet7.xml" /><Relationship Id="rId48" Type="http://schemas.openxmlformats.org/officeDocument/2006/relationships/worksheet" Target="worksheets/sheet41.xml" /><Relationship Id="rId49" Type="http://schemas.openxmlformats.org/officeDocument/2006/relationships/worksheet" Target="worksheets/sheet42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externalLink" Target="externalLinks/externalLink4.xml" /><Relationship Id="rId56" Type="http://schemas.openxmlformats.org/officeDocument/2006/relationships/externalLink" Target="externalLinks/externalLink5.xml" /><Relationship Id="rId57" Type="http://schemas.openxmlformats.org/officeDocument/2006/relationships/externalLink" Target="externalLinks/externalLink6.xml" /><Relationship Id="rId5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3"/>
          <c:w val="0.94625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'data_passtransport_EU15+GDP'!$C$4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'data_passtransport_EU15+GDP'!$A$5:$A$15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'data_passtransport_EU15+GDP'!$C$5:$C$14</c:f>
              <c:numCache>
                <c:ptCount val="10"/>
                <c:pt idx="0">
                  <c:v>94.26002556378374</c:v>
                </c:pt>
                <c:pt idx="1">
                  <c:v>95.45076014364994</c:v>
                </c:pt>
                <c:pt idx="2">
                  <c:v>95.05133519066165</c:v>
                </c:pt>
                <c:pt idx="3">
                  <c:v>97.67964745688586</c:v>
                </c:pt>
                <c:pt idx="4">
                  <c:v>100</c:v>
                </c:pt>
                <c:pt idx="5">
                  <c:v>101.59390241227516</c:v>
                </c:pt>
                <c:pt idx="6">
                  <c:v>104.13098786849962</c:v>
                </c:pt>
                <c:pt idx="7">
                  <c:v>107.13987284178437</c:v>
                </c:pt>
                <c:pt idx="8">
                  <c:v>110.1062138459204</c:v>
                </c:pt>
                <c:pt idx="9">
                  <c:v>113.86899375246662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'data_passtransport_EU15+GDP'!$B$4</c:f>
              <c:strCache>
                <c:ptCount val="1"/>
                <c:pt idx="0">
                  <c:v>Passenger transport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'data_passtransport_EU15+GDP'!$A$5:$A$15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'data_passtransport_EU15+GDP'!$B$5:$B$14</c:f>
              <c:numCache>
                <c:ptCount val="10"/>
                <c:pt idx="0">
                  <c:v>91.58958695092903</c:v>
                </c:pt>
                <c:pt idx="1">
                  <c:v>95.15754393893364</c:v>
                </c:pt>
                <c:pt idx="2">
                  <c:v>96.05872551737377</c:v>
                </c:pt>
                <c:pt idx="3">
                  <c:v>97.86310493359338</c:v>
                </c:pt>
                <c:pt idx="4">
                  <c:v>100</c:v>
                </c:pt>
                <c:pt idx="5">
                  <c:v>102.07607141569974</c:v>
                </c:pt>
                <c:pt idx="6">
                  <c:v>104.63947667038873</c:v>
                </c:pt>
                <c:pt idx="7">
                  <c:v>108.14384854314586</c:v>
                </c:pt>
                <c:pt idx="8">
                  <c:v>110.63052244313099</c:v>
                </c:pt>
                <c:pt idx="9">
                  <c:v>111.59479111997288</c:v>
                </c:pt>
              </c:numCache>
            </c:numRef>
          </c:val>
          <c:smooth val="0"/>
        </c:ser>
        <c:axId val="29413277"/>
        <c:axId val="63392902"/>
      </c:line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auto val="1"/>
        <c:lblOffset val="100"/>
        <c:tickLblSkip val="2"/>
        <c:noMultiLvlLbl val="0"/>
      </c:catAx>
      <c:valAx>
        <c:axId val="63392902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(1995=100)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327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99025"/>
          <c:h val="0.925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data_total_pkm_by_country!$B$10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data_total_pkm_by_country!$A$11:$A$26</c:f>
              <c:strCache>
                <c:ptCount val="16"/>
                <c:pt idx="0">
                  <c:v>France</c:v>
                </c:pt>
                <c:pt idx="1">
                  <c:v>Luxembourg</c:v>
                </c:pt>
                <c:pt idx="2">
                  <c:v>Denmark</c:v>
                </c:pt>
                <c:pt idx="3">
                  <c:v>Italy</c:v>
                </c:pt>
                <c:pt idx="4">
                  <c:v>Sweden</c:v>
                </c:pt>
                <c:pt idx="5">
                  <c:v>Finland</c:v>
                </c:pt>
                <c:pt idx="6">
                  <c:v>Belgium</c:v>
                </c:pt>
                <c:pt idx="7">
                  <c:v>Netherlands</c:v>
                </c:pt>
                <c:pt idx="8">
                  <c:v>United Kingdom</c:v>
                </c:pt>
                <c:pt idx="9">
                  <c:v>Austria</c:v>
                </c:pt>
                <c:pt idx="10">
                  <c:v>EU15</c:v>
                </c:pt>
                <c:pt idx="11">
                  <c:v>Ireland</c:v>
                </c:pt>
                <c:pt idx="12">
                  <c:v>Germany</c:v>
                </c:pt>
                <c:pt idx="13">
                  <c:v>Portugal</c:v>
                </c:pt>
                <c:pt idx="14">
                  <c:v>Spain</c:v>
                </c:pt>
                <c:pt idx="15">
                  <c:v>Greece</c:v>
                </c:pt>
              </c:strCache>
            </c:strRef>
          </c:cat>
          <c:val>
            <c:numRef>
              <c:f>data_total_pkm_by_country!$B$11:$B$26</c:f>
              <c:numCache>
                <c:ptCount val="16"/>
                <c:pt idx="0">
                  <c:v>13.257637418279145</c:v>
                </c:pt>
                <c:pt idx="1">
                  <c:v>13.124156573638189</c:v>
                </c:pt>
                <c:pt idx="2">
                  <c:v>12.948551693552856</c:v>
                </c:pt>
                <c:pt idx="3">
                  <c:v>12.197958379588027</c:v>
                </c:pt>
                <c:pt idx="4">
                  <c:v>13.155014292814412</c:v>
                </c:pt>
                <c:pt idx="5">
                  <c:v>12.465853410450737</c:v>
                </c:pt>
                <c:pt idx="6">
                  <c:v>10.916189114898296</c:v>
                </c:pt>
                <c:pt idx="7">
                  <c:v>11.653002322495025</c:v>
                </c:pt>
                <c:pt idx="8">
                  <c:v>12.66341264184888</c:v>
                </c:pt>
                <c:pt idx="9">
                  <c:v>11.980438416028827</c:v>
                </c:pt>
                <c:pt idx="10">
                  <c:v>11.176048825581455</c:v>
                </c:pt>
                <c:pt idx="11">
                  <c:v>8.179397850072325</c:v>
                </c:pt>
                <c:pt idx="12">
                  <c:v>11.210992088884446</c:v>
                </c:pt>
                <c:pt idx="13">
                  <c:v>6.820953693383323</c:v>
                </c:pt>
                <c:pt idx="14">
                  <c:v>6.648927510535512</c:v>
                </c:pt>
                <c:pt idx="15">
                  <c:v>3.374194008002342</c:v>
                </c:pt>
              </c:numCache>
            </c:numRef>
          </c:val>
        </c:ser>
        <c:ser>
          <c:idx val="0"/>
          <c:order val="1"/>
          <c:tx>
            <c:strRef>
              <c:f>data_total_pkm_by_country!$C$10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data_total_pkm_by_country!$A$11:$A$26</c:f>
              <c:strCache>
                <c:ptCount val="16"/>
                <c:pt idx="0">
                  <c:v>France</c:v>
                </c:pt>
                <c:pt idx="1">
                  <c:v>Luxembourg</c:v>
                </c:pt>
                <c:pt idx="2">
                  <c:v>Denmark</c:v>
                </c:pt>
                <c:pt idx="3">
                  <c:v>Italy</c:v>
                </c:pt>
                <c:pt idx="4">
                  <c:v>Sweden</c:v>
                </c:pt>
                <c:pt idx="5">
                  <c:v>Finland</c:v>
                </c:pt>
                <c:pt idx="6">
                  <c:v>Belgium</c:v>
                </c:pt>
                <c:pt idx="7">
                  <c:v>Netherlands</c:v>
                </c:pt>
                <c:pt idx="8">
                  <c:v>United Kingdom</c:v>
                </c:pt>
                <c:pt idx="9">
                  <c:v>Austria</c:v>
                </c:pt>
                <c:pt idx="10">
                  <c:v>EU15</c:v>
                </c:pt>
                <c:pt idx="11">
                  <c:v>Ireland</c:v>
                </c:pt>
                <c:pt idx="12">
                  <c:v>Germany</c:v>
                </c:pt>
                <c:pt idx="13">
                  <c:v>Portugal</c:v>
                </c:pt>
                <c:pt idx="14">
                  <c:v>Spain</c:v>
                </c:pt>
                <c:pt idx="15">
                  <c:v>Greece</c:v>
                </c:pt>
              </c:strCache>
            </c:strRef>
          </c:cat>
          <c:val>
            <c:numRef>
              <c:f>data_total_pkm_by_country!$C$11:$C$26</c:f>
              <c:numCache>
                <c:ptCount val="16"/>
                <c:pt idx="0">
                  <c:v>15.44181077226109</c:v>
                </c:pt>
                <c:pt idx="1">
                  <c:v>15.984213347582498</c:v>
                </c:pt>
                <c:pt idx="2">
                  <c:v>14.75296680231313</c:v>
                </c:pt>
                <c:pt idx="3">
                  <c:v>14.65525245276478</c:v>
                </c:pt>
                <c:pt idx="4">
                  <c:v>14.415121241879305</c:v>
                </c:pt>
                <c:pt idx="5">
                  <c:v>14.525838130191229</c:v>
                </c:pt>
                <c:pt idx="6">
                  <c:v>14.268163870464297</c:v>
                </c:pt>
                <c:pt idx="7">
                  <c:v>14.085488598530057</c:v>
                </c:pt>
                <c:pt idx="8">
                  <c:v>13.848362189461138</c:v>
                </c:pt>
                <c:pt idx="9">
                  <c:v>13.165056842120546</c:v>
                </c:pt>
                <c:pt idx="10">
                  <c:v>13.131030991045602</c:v>
                </c:pt>
                <c:pt idx="11">
                  <c:v>12.598161841282266</c:v>
                </c:pt>
                <c:pt idx="12">
                  <c:v>11.799562493527622</c:v>
                </c:pt>
                <c:pt idx="13">
                  <c:v>10.72761870503597</c:v>
                </c:pt>
                <c:pt idx="14">
                  <c:v>10.60446040795642</c:v>
                </c:pt>
                <c:pt idx="15">
                  <c:v>4.859448863636365</c:v>
                </c:pt>
              </c:numCache>
            </c:numRef>
          </c:val>
        </c:ser>
        <c:axId val="33665207"/>
        <c:axId val="34551408"/>
      </c:barChart>
      <c:catAx>
        <c:axId val="33665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1 000 passenger-kilometres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6520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075"/>
          <c:y val="0.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data_shares_historical!$B$5</c:f>
              <c:strCache>
                <c:ptCount val="1"/>
                <c:pt idx="0">
                  <c:v>Passengers car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data_shares_historical!$A$6:$A$15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data_shares_historical!$B$6:$B$15</c:f>
              <c:numCache>
                <c:ptCount val="10"/>
                <c:pt idx="0">
                  <c:v>0.8161209146739917</c:v>
                </c:pt>
                <c:pt idx="1">
                  <c:v>0.819306431253151</c:v>
                </c:pt>
                <c:pt idx="2">
                  <c:v>0.821770654733394</c:v>
                </c:pt>
                <c:pt idx="3">
                  <c:v>0.8210502960374904</c:v>
                </c:pt>
                <c:pt idx="4">
                  <c:v>0.819879518237941</c:v>
                </c:pt>
                <c:pt idx="5">
                  <c:v>0.8184296449967623</c:v>
                </c:pt>
                <c:pt idx="6">
                  <c:v>0.8162926589665112</c:v>
                </c:pt>
                <c:pt idx="7">
                  <c:v>0.8183463258407236</c:v>
                </c:pt>
                <c:pt idx="8">
                  <c:v>0.8177184768838884</c:v>
                </c:pt>
                <c:pt idx="9">
                  <c:v>0.8114773735317653</c:v>
                </c:pt>
              </c:numCache>
            </c:numRef>
          </c:val>
          <c:smooth val="0"/>
        </c:ser>
        <c:axId val="42527217"/>
        <c:axId val="47200634"/>
      </c:lineChart>
      <c:lineChart>
        <c:grouping val="standard"/>
        <c:varyColors val="0"/>
        <c:ser>
          <c:idx val="0"/>
          <c:order val="1"/>
          <c:tx>
            <c:strRef>
              <c:f>data_shares_historical!$C$5</c:f>
              <c:strCache>
                <c:ptCount val="1"/>
                <c:pt idx="0">
                  <c:v>Buses/ coaches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data_shares_historical!$A$6:$A$14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data_shares_historical!$C$6:$C$15</c:f>
              <c:numCache>
                <c:ptCount val="10"/>
                <c:pt idx="0">
                  <c:v>0.09397809514700187</c:v>
                </c:pt>
                <c:pt idx="1">
                  <c:v>0.09130907543643536</c:v>
                </c:pt>
                <c:pt idx="2">
                  <c:v>0.08985740462604108</c:v>
                </c:pt>
                <c:pt idx="3">
                  <c:v>0.08985652967071912</c:v>
                </c:pt>
                <c:pt idx="4">
                  <c:v>0.08906896309958158</c:v>
                </c:pt>
                <c:pt idx="5">
                  <c:v>0.08829242834117033</c:v>
                </c:pt>
                <c:pt idx="6">
                  <c:v>0.08810342833535006</c:v>
                </c:pt>
                <c:pt idx="7">
                  <c:v>0.08593297357249356</c:v>
                </c:pt>
                <c:pt idx="8">
                  <c:v>0.08560685357664365</c:v>
                </c:pt>
                <c:pt idx="9">
                  <c:v>0.0877365467958037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data_shares_historical!$D$5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data_shares_historical!$A$6:$A$14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data_shares_historical!$D$6:$D$15</c:f>
              <c:numCache>
                <c:ptCount val="10"/>
                <c:pt idx="0">
                  <c:v>0.06869859681774275</c:v>
                </c:pt>
                <c:pt idx="1">
                  <c:v>0.06643237078467545</c:v>
                </c:pt>
                <c:pt idx="2">
                  <c:v>0.0641479912806985</c:v>
                </c:pt>
                <c:pt idx="3">
                  <c:v>0.06352610331780265</c:v>
                </c:pt>
                <c:pt idx="4">
                  <c:v>0.06552029197914794</c:v>
                </c:pt>
                <c:pt idx="5">
                  <c:v>0.0664799020862238</c:v>
                </c:pt>
                <c:pt idx="6">
                  <c:v>0.06563222033125327</c:v>
                </c:pt>
                <c:pt idx="7">
                  <c:v>0.0641951361721376</c:v>
                </c:pt>
                <c:pt idx="8">
                  <c:v>0.0645306239192751</c:v>
                </c:pt>
                <c:pt idx="9">
                  <c:v>0.06636052151637248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data_shares_historical!$E$5</c:f>
              <c:strCache>
                <c:ptCount val="1"/>
                <c:pt idx="0">
                  <c:v>Air (domestic+intra-European)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data_shares_historical!$A$6:$A$14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data_shares_historical!$E$6:$E$15</c:f>
              <c:numCache>
                <c:ptCount val="10"/>
                <c:pt idx="0">
                  <c:v>0.0212023933612637</c:v>
                </c:pt>
                <c:pt idx="1">
                  <c:v>0.022952122525738215</c:v>
                </c:pt>
                <c:pt idx="2">
                  <c:v>0.024223949359866364</c:v>
                </c:pt>
                <c:pt idx="3">
                  <c:v>0.025567070973987867</c:v>
                </c:pt>
                <c:pt idx="4">
                  <c:v>0.025531226683329605</c:v>
                </c:pt>
                <c:pt idx="5">
                  <c:v>0.026798024575843776</c:v>
                </c:pt>
                <c:pt idx="6">
                  <c:v>0.029971692366885662</c:v>
                </c:pt>
                <c:pt idx="7">
                  <c:v>0.03152556441464519</c:v>
                </c:pt>
                <c:pt idx="8">
                  <c:v>0.032144045620192935</c:v>
                </c:pt>
                <c:pt idx="9">
                  <c:v>0.03442555815605848</c:v>
                </c:pt>
              </c:numCache>
            </c:numRef>
          </c:val>
          <c:smooth val="0"/>
        </c:ser>
        <c:axId val="22152523"/>
        <c:axId val="65154980"/>
      </c:line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00634"/>
        <c:crosses val="autoZero"/>
        <c:auto val="1"/>
        <c:lblOffset val="100"/>
        <c:noMultiLvlLbl val="0"/>
      </c:catAx>
      <c:valAx>
        <c:axId val="472006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Arial"/>
                    <a:ea typeface="Arial"/>
                    <a:cs typeface="Arial"/>
                  </a:rPr>
                  <a:t>Share 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passenger cars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2527217"/>
        <c:crossesAt val="1"/>
        <c:crossBetween val="midCat"/>
        <c:dispUnits/>
        <c:majorUnit val="0.2"/>
      </c:valAx>
      <c:catAx>
        <c:axId val="22152523"/>
        <c:scaling>
          <c:orientation val="minMax"/>
        </c:scaling>
        <c:axPos val="b"/>
        <c:delete val="1"/>
        <c:majorTickMark val="in"/>
        <c:minorTickMark val="none"/>
        <c:tickLblPos val="nextTo"/>
        <c:crossAx val="65154980"/>
        <c:crosses val="autoZero"/>
        <c:auto val="1"/>
        <c:lblOffset val="100"/>
        <c:noMultiLvlLbl val="0"/>
      </c:catAx>
      <c:valAx>
        <c:axId val="65154980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Arial"/>
                    <a:ea typeface="Arial"/>
                    <a:cs typeface="Arial"/>
                  </a:rPr>
                  <a:t>Share 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air, rail and bus/coach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2152523"/>
        <c:crosses val="max"/>
        <c:crossBetween val="midCat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89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'data_share_car_by_country_91-00'!$B$11</c:f>
              <c:strCache>
                <c:ptCount val="1"/>
                <c:pt idx="0">
                  <c:v>1991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'data_share_car_by_country_91-00'!$A$12:$A$27</c:f>
              <c:strCache>
                <c:ptCount val="16"/>
                <c:pt idx="0">
                  <c:v>United Kingdom</c:v>
                </c:pt>
                <c:pt idx="1">
                  <c:v>Netherlands</c:v>
                </c:pt>
                <c:pt idx="2">
                  <c:v>France</c:v>
                </c:pt>
                <c:pt idx="3">
                  <c:v>Belgium</c:v>
                </c:pt>
                <c:pt idx="4">
                  <c:v>EU-15</c:v>
                </c:pt>
                <c:pt idx="5">
                  <c:v>Portugal</c:v>
                </c:pt>
                <c:pt idx="6">
                  <c:v>Italy</c:v>
                </c:pt>
                <c:pt idx="7">
                  <c:v>Germany</c:v>
                </c:pt>
                <c:pt idx="8">
                  <c:v>Sweden</c:v>
                </c:pt>
                <c:pt idx="9">
                  <c:v>Finland</c:v>
                </c:pt>
                <c:pt idx="10">
                  <c:v>Luxembourg</c:v>
                </c:pt>
                <c:pt idx="11">
                  <c:v>Ireland</c:v>
                </c:pt>
                <c:pt idx="12">
                  <c:v>Denmark</c:v>
                </c:pt>
                <c:pt idx="13">
                  <c:v>Greece</c:v>
                </c:pt>
                <c:pt idx="14">
                  <c:v>Spain</c:v>
                </c:pt>
                <c:pt idx="15">
                  <c:v>Austria</c:v>
                </c:pt>
              </c:strCache>
            </c:strRef>
          </c:cat>
          <c:val>
            <c:numRef>
              <c:f>'data_share_car_by_country_91-00'!$C$12:$C$27</c:f>
              <c:numCache>
                <c:ptCount val="16"/>
                <c:pt idx="0">
                  <c:v>0.8728527961824374</c:v>
                </c:pt>
                <c:pt idx="1">
                  <c:v>0.8603658536585366</c:v>
                </c:pt>
                <c:pt idx="2">
                  <c:v>0.8489060245377767</c:v>
                </c:pt>
                <c:pt idx="3">
                  <c:v>0.8353272675754809</c:v>
                </c:pt>
                <c:pt idx="4">
                  <c:v>0.8310575511876931</c:v>
                </c:pt>
                <c:pt idx="5">
                  <c:v>0.8281312529838789</c:v>
                </c:pt>
                <c:pt idx="6">
                  <c:v>0.8211050139786006</c:v>
                </c:pt>
                <c:pt idx="7">
                  <c:v>0.8184471977696393</c:v>
                </c:pt>
                <c:pt idx="8">
                  <c:v>0.8183420533738835</c:v>
                </c:pt>
                <c:pt idx="9">
                  <c:v>0.8180505362247832</c:v>
                </c:pt>
                <c:pt idx="10">
                  <c:v>0.8145213868106659</c:v>
                </c:pt>
                <c:pt idx="11">
                  <c:v>0.8069720656081799</c:v>
                </c:pt>
                <c:pt idx="12">
                  <c:v>0.8010514850763447</c:v>
                </c:pt>
                <c:pt idx="13">
                  <c:v>0.7950984311240431</c:v>
                </c:pt>
                <c:pt idx="14">
                  <c:v>0.7875743195820593</c:v>
                </c:pt>
                <c:pt idx="15">
                  <c:v>0.7666038786943521</c:v>
                </c:pt>
              </c:numCache>
            </c:numRef>
          </c:val>
        </c:ser>
        <c:ser>
          <c:idx val="1"/>
          <c:order val="1"/>
          <c:tx>
            <c:strRef>
              <c:f>'data_share_car_by_country_91-00'!$C$11</c:f>
              <c:strCache>
                <c:ptCount val="1"/>
                <c:pt idx="0">
                  <c:v>2000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'data_share_car_by_country_91-00'!$A$12:$A$27</c:f>
              <c:strCache>
                <c:ptCount val="16"/>
                <c:pt idx="0">
                  <c:v>United Kingdom</c:v>
                </c:pt>
                <c:pt idx="1">
                  <c:v>Netherlands</c:v>
                </c:pt>
                <c:pt idx="2">
                  <c:v>France</c:v>
                </c:pt>
                <c:pt idx="3">
                  <c:v>Belgium</c:v>
                </c:pt>
                <c:pt idx="4">
                  <c:v>EU-15</c:v>
                </c:pt>
                <c:pt idx="5">
                  <c:v>Portugal</c:v>
                </c:pt>
                <c:pt idx="6">
                  <c:v>Italy</c:v>
                </c:pt>
                <c:pt idx="7">
                  <c:v>Germany</c:v>
                </c:pt>
                <c:pt idx="8">
                  <c:v>Sweden</c:v>
                </c:pt>
                <c:pt idx="9">
                  <c:v>Finland</c:v>
                </c:pt>
                <c:pt idx="10">
                  <c:v>Luxembourg</c:v>
                </c:pt>
                <c:pt idx="11">
                  <c:v>Ireland</c:v>
                </c:pt>
                <c:pt idx="12">
                  <c:v>Denmark</c:v>
                </c:pt>
                <c:pt idx="13">
                  <c:v>Greece</c:v>
                </c:pt>
                <c:pt idx="14">
                  <c:v>Spain</c:v>
                </c:pt>
                <c:pt idx="15">
                  <c:v>Austria</c:v>
                </c:pt>
              </c:strCache>
            </c:strRef>
          </c:cat>
          <c:val>
            <c:numRef>
              <c:f>'data_share_car_by_country_91-00'!$B$12:$B$27</c:f>
              <c:numCache>
                <c:ptCount val="16"/>
                <c:pt idx="0">
                  <c:v>0.8771918533763747</c:v>
                </c:pt>
                <c:pt idx="1">
                  <c:v>0.8418015526877507</c:v>
                </c:pt>
                <c:pt idx="2">
                  <c:v>0.8406210590889169</c:v>
                </c:pt>
                <c:pt idx="3">
                  <c:v>0.8218417582853347</c:v>
                </c:pt>
                <c:pt idx="4">
                  <c:v>0.827592509178651</c:v>
                </c:pt>
                <c:pt idx="5">
                  <c:v>0.7150317922665802</c:v>
                </c:pt>
                <c:pt idx="6">
                  <c:v>0.8027442101601269</c:v>
                </c:pt>
                <c:pt idx="7">
                  <c:v>0.8306151416231867</c:v>
                </c:pt>
                <c:pt idx="8">
                  <c:v>0.8459277347483404</c:v>
                </c:pt>
                <c:pt idx="9">
                  <c:v>0.7936465039632038</c:v>
                </c:pt>
                <c:pt idx="10">
                  <c:v>0.8606044702679961</c:v>
                </c:pt>
                <c:pt idx="11">
                  <c:v>0.7788610301386361</c:v>
                </c:pt>
                <c:pt idx="12">
                  <c:v>0.8117762810500172</c:v>
                </c:pt>
                <c:pt idx="13">
                  <c:v>0.7092833916847259</c:v>
                </c:pt>
                <c:pt idx="14">
                  <c:v>0.7675577738868408</c:v>
                </c:pt>
                <c:pt idx="15">
                  <c:v>0.7929708361771588</c:v>
                </c:pt>
              </c:numCache>
            </c:numRef>
          </c:val>
        </c:ser>
        <c:overlap val="100"/>
        <c:gapWidth val="60"/>
        <c:axId val="49523909"/>
        <c:axId val="43061998"/>
      </c:barChart>
      <c:catAx>
        <c:axId val="49523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  <c:max val="0.91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car in passenger transport (passenger-km)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23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895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air share by county'!$D$8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air share by county'!$B$9:$B$24</c:f>
              <c:strCache>
                <c:ptCount val="12"/>
                <c:pt idx="0">
                  <c:v>Spain</c:v>
                </c:pt>
                <c:pt idx="1">
                  <c:v>Sweden</c:v>
                </c:pt>
                <c:pt idx="2">
                  <c:v>Greece</c:v>
                </c:pt>
                <c:pt idx="3">
                  <c:v>Denmark</c:v>
                </c:pt>
                <c:pt idx="4">
                  <c:v>Finland</c:v>
                </c:pt>
                <c:pt idx="5">
                  <c:v>Portugal</c:v>
                </c:pt>
                <c:pt idx="6">
                  <c:v>France</c:v>
                </c:pt>
                <c:pt idx="7">
                  <c:v>EU-15</c:v>
                </c:pt>
                <c:pt idx="8">
                  <c:v>Italy</c:v>
                </c:pt>
                <c:pt idx="9">
                  <c:v>United Kingdom</c:v>
                </c:pt>
                <c:pt idx="10">
                  <c:v>Germany</c:v>
                </c:pt>
                <c:pt idx="11">
                  <c:v>Ireland</c:v>
                </c:pt>
              </c:strCache>
            </c:strRef>
          </c:cat>
          <c:val>
            <c:numRef>
              <c:f>'data air share by county'!$D$9:$D$20</c:f>
              <c:numCache>
                <c:ptCount val="12"/>
                <c:pt idx="0">
                  <c:v>0.0333019785523929</c:v>
                </c:pt>
                <c:pt idx="1">
                  <c:v>0.03096809468259095</c:v>
                </c:pt>
                <c:pt idx="2">
                  <c:v>0.025049527685023953</c:v>
                </c:pt>
                <c:pt idx="3">
                  <c:v>0.01904929263078428</c:v>
                </c:pt>
                <c:pt idx="4">
                  <c:v>0.018779958255336425</c:v>
                </c:pt>
                <c:pt idx="5">
                  <c:v>0.012419647017085443</c:v>
                </c:pt>
                <c:pt idx="6">
                  <c:v>0.011308420821354439</c:v>
                </c:pt>
                <c:pt idx="7">
                  <c:v>0.011127164722063885</c:v>
                </c:pt>
                <c:pt idx="8">
                  <c:v>0.00891346260614907</c:v>
                </c:pt>
                <c:pt idx="9">
                  <c:v>0.007396926233642477</c:v>
                </c:pt>
                <c:pt idx="10">
                  <c:v>0.007010732419621951</c:v>
                </c:pt>
                <c:pt idx="11">
                  <c:v>0.0020104385941050727</c:v>
                </c:pt>
              </c:numCache>
            </c:numRef>
          </c:val>
        </c:ser>
        <c:ser>
          <c:idx val="1"/>
          <c:order val="1"/>
          <c:tx>
            <c:strRef>
              <c:f>'data_share_car_by_country_91-00'!$B$11</c:f>
              <c:strCache>
                <c:ptCount val="1"/>
                <c:pt idx="0">
                  <c:v>1991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air share by county'!$B$9:$B$24</c:f>
              <c:strCache>
                <c:ptCount val="12"/>
                <c:pt idx="0">
                  <c:v>Spain</c:v>
                </c:pt>
                <c:pt idx="1">
                  <c:v>Sweden</c:v>
                </c:pt>
                <c:pt idx="2">
                  <c:v>Greece</c:v>
                </c:pt>
                <c:pt idx="3">
                  <c:v>Denmark</c:v>
                </c:pt>
                <c:pt idx="4">
                  <c:v>Finland</c:v>
                </c:pt>
                <c:pt idx="5">
                  <c:v>Portugal</c:v>
                </c:pt>
                <c:pt idx="6">
                  <c:v>France</c:v>
                </c:pt>
                <c:pt idx="7">
                  <c:v>EU-15</c:v>
                </c:pt>
                <c:pt idx="8">
                  <c:v>Italy</c:v>
                </c:pt>
                <c:pt idx="9">
                  <c:v>United Kingdom</c:v>
                </c:pt>
                <c:pt idx="10">
                  <c:v>Germany</c:v>
                </c:pt>
                <c:pt idx="11">
                  <c:v>Ireland</c:v>
                </c:pt>
              </c:strCache>
            </c:strRef>
          </c:cat>
          <c:val>
            <c:numRef>
              <c:f>'data air share by county'!$C$9:$C$20</c:f>
              <c:numCache>
                <c:ptCount val="12"/>
                <c:pt idx="0">
                  <c:v>0.020594601422171007</c:v>
                </c:pt>
                <c:pt idx="1">
                  <c:v>0.020760141269356013</c:v>
                </c:pt>
                <c:pt idx="2">
                  <c:v>0.03480340088733449</c:v>
                </c:pt>
                <c:pt idx="3">
                  <c:v>0.01345013062206185</c:v>
                </c:pt>
                <c:pt idx="4">
                  <c:v>0.012560071685436295</c:v>
                </c:pt>
                <c:pt idx="5">
                  <c:v>0.013655220342839867</c:v>
                </c:pt>
                <c:pt idx="6">
                  <c:v>0.011767229949285082</c:v>
                </c:pt>
                <c:pt idx="7">
                  <c:v>0.007444175622197597</c:v>
                </c:pt>
                <c:pt idx="8">
                  <c:v>0.002730897728671076</c:v>
                </c:pt>
                <c:pt idx="9">
                  <c:v>0.0053970720909453694</c:v>
                </c:pt>
                <c:pt idx="10">
                  <c:v>0.004838325485998183</c:v>
                </c:pt>
                <c:pt idx="11">
                  <c:v>0.0024899619214031055</c:v>
                </c:pt>
              </c:numCache>
            </c:numRef>
          </c:val>
        </c:ser>
        <c:overlap val="100"/>
        <c:gapWidth val="60"/>
        <c:axId val="52013663"/>
        <c:axId val="65469784"/>
      </c:barChart>
      <c:catAx>
        <c:axId val="5201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auto val="1"/>
        <c:lblOffset val="100"/>
        <c:noMultiLvlLbl val="0"/>
      </c:catAx>
      <c:valAx>
        <c:axId val="65469784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domestic air in passenger transport (passenger-km)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\ %" sourceLinked="0"/>
        <c:majorTickMark val="out"/>
        <c:minorTickMark val="none"/>
        <c:tickLblPos val="nextTo"/>
        <c:crossAx val="52013663"/>
        <c:crossesAt val="1"/>
        <c:crossBetween val="between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357145"/>
        <c:axId val="1452258"/>
      </c:lineChart>
      <c:lineChart>
        <c:grouping val="standard"/>
        <c:varyColors val="0"/>
        <c:ser>
          <c:idx val="2"/>
          <c:order val="1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'EU-15_totals'!#REF!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'EU-15_totals'!#REF!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'EU-15_totals'!#REF!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70323"/>
        <c:axId val="50524044"/>
      </c:lineChart>
      <c:cat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2258"/>
        <c:crosses val="autoZero"/>
        <c:auto val="1"/>
        <c:lblOffset val="100"/>
        <c:noMultiLvlLbl val="0"/>
      </c:catAx>
      <c:valAx>
        <c:axId val="14522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57145"/>
        <c:crossesAt val="1"/>
        <c:crossBetween val="between"/>
        <c:dispUnits/>
      </c:valAx>
      <c:catAx>
        <c:axId val="13070323"/>
        <c:scaling>
          <c:orientation val="minMax"/>
        </c:scaling>
        <c:axPos val="b"/>
        <c:delete val="1"/>
        <c:majorTickMark val="in"/>
        <c:minorTickMark val="none"/>
        <c:tickLblPos val="nextTo"/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703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"/>
          <c:w val="0.96425"/>
          <c:h val="0.946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Manip_purposes!$B$44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Manip_purposes!$C$37:$I$37</c:f>
              <c:strCache>
                <c:ptCount val="7"/>
                <c:pt idx="0">
                  <c:v>Commuting</c:v>
                </c:pt>
                <c:pt idx="1">
                  <c:v>Bussiness</c:v>
                </c:pt>
                <c:pt idx="2">
                  <c:v>Shopping</c:v>
                </c:pt>
                <c:pt idx="3">
                  <c:v>Education</c:v>
                </c:pt>
                <c:pt idx="4">
                  <c:v>Visits</c:v>
                </c:pt>
                <c:pt idx="5">
                  <c:v>Recreation</c:v>
                </c:pt>
                <c:pt idx="6">
                  <c:v>Other</c:v>
                </c:pt>
              </c:strCache>
            </c:strRef>
          </c:cat>
          <c:val>
            <c:numRef>
              <c:f>Manip_purposes!$C$44:$I$44</c:f>
              <c:numCache>
                <c:ptCount val="7"/>
                <c:pt idx="0">
                  <c:v>0.2527541706011961</c:v>
                </c:pt>
                <c:pt idx="1">
                  <c:v>0.09505823103556815</c:v>
                </c:pt>
                <c:pt idx="2">
                  <c:v>0.09474346868114573</c:v>
                </c:pt>
                <c:pt idx="3">
                  <c:v>0.0598048473402581</c:v>
                </c:pt>
                <c:pt idx="4">
                  <c:v>0.2237960339943343</c:v>
                </c:pt>
                <c:pt idx="5">
                  <c:v>0.16084356310985204</c:v>
                </c:pt>
                <c:pt idx="6">
                  <c:v>0.11299968523764557</c:v>
                </c:pt>
              </c:numCache>
            </c:numRef>
          </c:val>
        </c:ser>
        <c:ser>
          <c:idx val="0"/>
          <c:order val="1"/>
          <c:tx>
            <c:strRef>
              <c:f>Manip_purposes!$B$39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Manip_purposes!$C$39:$I$39</c:f>
              <c:numCache>
                <c:ptCount val="7"/>
                <c:pt idx="0">
                  <c:v>0.23106423777564716</c:v>
                </c:pt>
                <c:pt idx="1">
                  <c:v>0.10035155001597953</c:v>
                </c:pt>
                <c:pt idx="2">
                  <c:v>0.10003195909236176</c:v>
                </c:pt>
                <c:pt idx="3">
                  <c:v>0.05241291147331415</c:v>
                </c:pt>
                <c:pt idx="4">
                  <c:v>0.22467241930329176</c:v>
                </c:pt>
                <c:pt idx="5">
                  <c:v>0.1722595078299776</c:v>
                </c:pt>
                <c:pt idx="6">
                  <c:v>0.11920741450942793</c:v>
                </c:pt>
              </c:numCache>
            </c:numRef>
          </c:val>
        </c:ser>
        <c:axId val="52063213"/>
        <c:axId val="65915734"/>
      </c:bar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5915734"/>
        <c:crosses val="autoZero"/>
        <c:auto val="1"/>
        <c:lblOffset val="100"/>
        <c:noMultiLvlLbl val="0"/>
      </c:catAx>
      <c:valAx>
        <c:axId val="659157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20632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25"/>
          <c:y val="0.10475"/>
          <c:w val="0.242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1"/>
          <c:w val="0.78475"/>
          <c:h val="0.89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'air travel purposes'!$A$29</c:f>
              <c:strCache>
                <c:ptCount val="1"/>
                <c:pt idx="0">
                  <c:v>Business visit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purposes'!$E$54:$M$54</c:f>
              <c:numCache>
                <c:ptCount val="9"/>
                <c:pt idx="0">
                  <c:v>0.019200157267605784</c:v>
                </c:pt>
                <c:pt idx="2">
                  <c:v>0.0952549531027161</c:v>
                </c:pt>
                <c:pt idx="4">
                  <c:v>0.010849578146883565</c:v>
                </c:pt>
                <c:pt idx="6">
                  <c:v>0.02141322366215974</c:v>
                </c:pt>
                <c:pt idx="8">
                  <c:v>0.14671788888736195</c:v>
                </c:pt>
              </c:numCache>
            </c:numRef>
          </c:val>
        </c:ser>
        <c:ser>
          <c:idx val="1"/>
          <c:order val="1"/>
          <c:tx>
            <c:strRef>
              <c:f>'air travel purposes'!$A$30</c:f>
              <c:strCache>
                <c:ptCount val="1"/>
                <c:pt idx="0">
                  <c:v>Holiday Independent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purposes'!$E$55:$M$55</c:f>
              <c:numCache>
                <c:ptCount val="9"/>
                <c:pt idx="0">
                  <c:v>0.040866937676888204</c:v>
                </c:pt>
                <c:pt idx="2">
                  <c:v>0.2000062422568647</c:v>
                </c:pt>
                <c:pt idx="4">
                  <c:v>0.019069163041460464</c:v>
                </c:pt>
                <c:pt idx="6">
                  <c:v>0.04004980761969935</c:v>
                </c:pt>
                <c:pt idx="8">
                  <c:v>0.29999210401090626</c:v>
                </c:pt>
              </c:numCache>
            </c:numRef>
          </c:val>
        </c:ser>
        <c:ser>
          <c:idx val="2"/>
          <c:order val="2"/>
          <c:tx>
            <c:strRef>
              <c:f>'air travel purposes'!$A$31</c:f>
              <c:strCache>
                <c:ptCount val="1"/>
                <c:pt idx="0">
                  <c:v>Holiday Inclusive tour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purposes'!$E$56:$M$56</c:f>
              <c:numCache>
                <c:ptCount val="9"/>
                <c:pt idx="0">
                  <c:v>0.023619977923839342</c:v>
                </c:pt>
                <c:pt idx="2">
                  <c:v>0.271161262417258</c:v>
                </c:pt>
                <c:pt idx="4">
                  <c:v>0.05145289693125527</c:v>
                </c:pt>
                <c:pt idx="6">
                  <c:v>0.046989753149020604</c:v>
                </c:pt>
                <c:pt idx="8">
                  <c:v>0.39322272582121187</c:v>
                </c:pt>
              </c:numCache>
            </c:numRef>
          </c:val>
        </c:ser>
        <c:ser>
          <c:idx val="3"/>
          <c:order val="3"/>
          <c:tx>
            <c:strRef>
              <c:f>'air travel purposes'!$A$32</c:f>
              <c:strCache>
                <c:ptCount val="1"/>
                <c:pt idx="0">
                  <c:v>Visiting friends and relatives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purposes'!$E$57:$M$57</c:f>
              <c:numCache>
                <c:ptCount val="9"/>
                <c:pt idx="0">
                  <c:v>0.02202314805864647</c:v>
                </c:pt>
                <c:pt idx="2">
                  <c:v>0.07129842902425838</c:v>
                </c:pt>
                <c:pt idx="4">
                  <c:v>0.00942182493311119</c:v>
                </c:pt>
                <c:pt idx="6">
                  <c:v>0.03820964619680019</c:v>
                </c:pt>
                <c:pt idx="8">
                  <c:v>0.14095304821281623</c:v>
                </c:pt>
              </c:numCache>
            </c:numRef>
          </c:val>
        </c:ser>
        <c:ser>
          <c:idx val="4"/>
          <c:order val="4"/>
          <c:tx>
            <c:strRef>
              <c:f>'air travel purposes'!$A$33</c:f>
              <c:strCache>
                <c:ptCount val="1"/>
                <c:pt idx="0">
                  <c:v>Miscellaneous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'air travel purposes'!$E$26:$N$26</c:f>
              <c:strCache>
                <c:ptCount val="9"/>
                <c:pt idx="0">
                  <c:v>North America (11 %)</c:v>
                </c:pt>
                <c:pt idx="2">
                  <c:v>EC           (65 %)</c:v>
                </c:pt>
                <c:pt idx="4">
                  <c:v> Other Western Europe (9 %)</c:v>
                </c:pt>
                <c:pt idx="6">
                  <c:v>Other areas (15 %)</c:v>
                </c:pt>
                <c:pt idx="8">
                  <c:v>All areas</c:v>
                </c:pt>
              </c:strCache>
            </c:strRef>
          </c:cat>
          <c:val>
            <c:numRef>
              <c:f>'air travel purposes'!$E$58:$M$58</c:f>
              <c:numCache>
                <c:ptCount val="9"/>
                <c:pt idx="0">
                  <c:v>0.002239036978151402</c:v>
                </c:pt>
                <c:pt idx="2">
                  <c:v>0.010478420075470748</c:v>
                </c:pt>
                <c:pt idx="4">
                  <c:v>0.001013178848345534</c:v>
                </c:pt>
                <c:pt idx="6">
                  <c:v>0.005383550581729427</c:v>
                </c:pt>
                <c:pt idx="8">
                  <c:v>0.019114186483697112</c:v>
                </c:pt>
              </c:numCache>
            </c:numRef>
          </c:val>
        </c:ser>
        <c:overlap val="100"/>
        <c:axId val="56370695"/>
        <c:axId val="37574208"/>
      </c:bar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37574208"/>
        <c:crosses val="autoZero"/>
        <c:auto val="1"/>
        <c:lblOffset val="100"/>
        <c:noMultiLvlLbl val="0"/>
      </c:catAx>
      <c:valAx>
        <c:axId val="37574208"/>
        <c:scaling>
          <c:orientation val="minMax"/>
          <c:max val="1"/>
          <c:min val="0"/>
        </c:scaling>
        <c:axPos val="l"/>
        <c:majorGridlines/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56370695"/>
        <c:crossesAt val="1"/>
        <c:crossBetween val="between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385"/>
          <c:w val="0.17525"/>
          <c:h val="0.6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480314960629921" right="0.7480314960629921" top="2.7559055118110236" bottom="2.7559055118110236" header="0.5118110236220472" footer="0.5118110236220472"/>
  <pageSetup horizontalDpi="600" verticalDpi="600" orientation="portrait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0.71075</cdr:y>
    </cdr:from>
    <cdr:to>
      <cdr:x>0.43425</cdr:x>
      <cdr:y>0.7735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5029200"/>
          <a:ext cx="1343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Passenger-km</a:t>
          </a:r>
        </a:p>
      </cdr:txBody>
    </cdr:sp>
  </cdr:relSizeAnchor>
  <cdr:relSizeAnchor xmlns:cdr="http://schemas.openxmlformats.org/drawingml/2006/chartDrawing">
    <cdr:from>
      <cdr:x>0.7645</cdr:x>
      <cdr:y>0.09625</cdr:y>
    </cdr:from>
    <cdr:to>
      <cdr:x>0.85575</cdr:x>
      <cdr:y>0.159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676275"/>
          <a:ext cx="561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GDP</a:t>
          </a:r>
        </a:p>
      </cdr:txBody>
    </cdr:sp>
  </cdr:relSizeAnchor>
  <cdr:relSizeAnchor xmlns:cdr="http://schemas.openxmlformats.org/drawingml/2006/chartDrawing">
    <cdr:from>
      <cdr:x>0.19275</cdr:x>
      <cdr:y>0.613</cdr:y>
    </cdr:from>
    <cdr:to>
      <cdr:x>0.23925</cdr:x>
      <cdr:y>0.71075</cdr:y>
    </cdr:to>
    <cdr:sp>
      <cdr:nvSpPr>
        <cdr:cNvPr id="3" name="Line 3"/>
        <cdr:cNvSpPr>
          <a:spLocks/>
        </cdr:cNvSpPr>
      </cdr:nvSpPr>
      <cdr:spPr>
        <a:xfrm>
          <a:off x="1190625" y="4333875"/>
          <a:ext cx="285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</cdr:x>
      <cdr:y>0.12775</cdr:y>
    </cdr:from>
    <cdr:to>
      <cdr:x>0.91125</cdr:x>
      <cdr:y>0.20525</cdr:y>
    </cdr:to>
    <cdr:sp>
      <cdr:nvSpPr>
        <cdr:cNvPr id="4" name="Line 4"/>
        <cdr:cNvSpPr>
          <a:spLocks/>
        </cdr:cNvSpPr>
      </cdr:nvSpPr>
      <cdr:spPr>
        <a:xfrm>
          <a:off x="5276850" y="895350"/>
          <a:ext cx="352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0.48575</cdr:y>
    </cdr:from>
    <cdr:to>
      <cdr:x>0.95275</cdr:x>
      <cdr:y>0.48675</cdr:y>
    </cdr:to>
    <cdr:sp>
      <cdr:nvSpPr>
        <cdr:cNvPr id="5" name="Line 5"/>
        <cdr:cNvSpPr>
          <a:spLocks/>
        </cdr:cNvSpPr>
      </cdr:nvSpPr>
      <cdr:spPr>
        <a:xfrm>
          <a:off x="866775" y="3429000"/>
          <a:ext cx="5019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152400</xdr:colOff>
      <xdr:row>27</xdr:row>
      <xdr:rowOff>0</xdr:rowOff>
    </xdr:from>
    <xdr:to>
      <xdr:col>63</xdr:col>
      <xdr:colOff>352425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6442650" y="2590800"/>
        <a:ext cx="5076825" cy="28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</xdr:row>
      <xdr:rowOff>133350</xdr:rowOff>
    </xdr:from>
    <xdr:to>
      <xdr:col>18</xdr:col>
      <xdr:colOff>295275</xdr:colOff>
      <xdr:row>49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19125"/>
          <a:ext cx="97536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0.1495</cdr:y>
    </cdr:from>
    <cdr:to>
      <cdr:x>0.30925</cdr:x>
      <cdr:y>0.21025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857250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Passenger cars</a:t>
          </a:r>
        </a:p>
      </cdr:txBody>
    </cdr:sp>
  </cdr:relSizeAnchor>
  <cdr:relSizeAnchor xmlns:cdr="http://schemas.openxmlformats.org/drawingml/2006/chartDrawing">
    <cdr:from>
      <cdr:x>0.75825</cdr:x>
      <cdr:y>0.431</cdr:y>
    </cdr:from>
    <cdr:to>
      <cdr:x>0.8835</cdr:x>
      <cdr:y>0.49175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2476500"/>
          <a:ext cx="1152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Bus/coach</a:t>
          </a:r>
        </a:p>
      </cdr:txBody>
    </cdr:sp>
  </cdr:relSizeAnchor>
  <cdr:relSizeAnchor xmlns:cdr="http://schemas.openxmlformats.org/drawingml/2006/chartDrawing">
    <cdr:from>
      <cdr:x>0.834</cdr:x>
      <cdr:y>0.57525</cdr:y>
    </cdr:from>
    <cdr:to>
      <cdr:x>0.88625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7696200" y="3305175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  <cdr:relSizeAnchor xmlns:cdr="http://schemas.openxmlformats.org/drawingml/2006/chartDrawing">
    <cdr:from>
      <cdr:x>0.81225</cdr:x>
      <cdr:y>0.67825</cdr:y>
    </cdr:from>
    <cdr:to>
      <cdr:x>0.88125</cdr:x>
      <cdr:y>0.73225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38957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Air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0.0335</cdr:y>
    </cdr:from>
    <cdr:to>
      <cdr:x>0.95775</cdr:x>
      <cdr:y>0.1195</cdr:y>
    </cdr:to>
    <cdr:sp>
      <cdr:nvSpPr>
        <cdr:cNvPr id="1" name="Rectangle 2"/>
        <cdr:cNvSpPr>
          <a:spLocks/>
        </cdr:cNvSpPr>
      </cdr:nvSpPr>
      <cdr:spPr>
        <a:xfrm>
          <a:off x="7496175" y="190500"/>
          <a:ext cx="13525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0.82875</cdr:x>
      <cdr:y>0.04025</cdr:y>
    </cdr:from>
    <cdr:to>
      <cdr:x>0.891</cdr:x>
      <cdr:y>0.0655</cdr:y>
    </cdr:to>
    <cdr:sp>
      <cdr:nvSpPr>
        <cdr:cNvPr id="2" name="Rectangle 3"/>
        <cdr:cNvSpPr>
          <a:spLocks/>
        </cdr:cNvSpPr>
      </cdr:nvSpPr>
      <cdr:spPr>
        <a:xfrm>
          <a:off x="7648575" y="228600"/>
          <a:ext cx="571500" cy="142875"/>
        </a:xfrm>
        <a:prstGeom prst="rect">
          <a:avLst/>
        </a:prstGeom>
        <a:solidFill>
          <a:srgbClr val="9999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0.82875</cdr:x>
      <cdr:y>0.09425</cdr:y>
    </cdr:from>
    <cdr:to>
      <cdr:x>0.891</cdr:x>
      <cdr:y>0.1195</cdr:y>
    </cdr:to>
    <cdr:sp>
      <cdr:nvSpPr>
        <cdr:cNvPr id="3" name="Rectangle 4"/>
        <cdr:cNvSpPr>
          <a:spLocks/>
        </cdr:cNvSpPr>
      </cdr:nvSpPr>
      <cdr:spPr>
        <a:xfrm>
          <a:off x="7648575" y="533400"/>
          <a:ext cx="571500" cy="1428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0.898</cdr:x>
      <cdr:y>0.0335</cdr:y>
    </cdr:from>
    <cdr:to>
      <cdr:x>0.9565</cdr:x>
      <cdr:y>0.1415</cdr:y>
    </cdr:to>
    <cdr:sp>
      <cdr:nvSpPr>
        <cdr:cNvPr id="4" name="TextBox 6"/>
        <cdr:cNvSpPr txBox="1">
          <a:spLocks noChangeArrowheads="1"/>
        </cdr:cNvSpPr>
      </cdr:nvSpPr>
      <cdr:spPr>
        <a:xfrm>
          <a:off x="8296275" y="190500"/>
          <a:ext cx="5429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2000
1991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</cdr:x>
      <cdr:y>0.03275</cdr:y>
    </cdr:from>
    <cdr:to>
      <cdr:x>0.94925</cdr:x>
      <cdr:y>0.1135</cdr:y>
    </cdr:to>
    <cdr:sp>
      <cdr:nvSpPr>
        <cdr:cNvPr id="1" name="Rectangle 1"/>
        <cdr:cNvSpPr>
          <a:spLocks/>
        </cdr:cNvSpPr>
      </cdr:nvSpPr>
      <cdr:spPr>
        <a:xfrm>
          <a:off x="7419975" y="180975"/>
          <a:ext cx="13430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0.07075</cdr:y>
    </cdr:from>
    <cdr:to>
      <cdr:x>0.88375</cdr:x>
      <cdr:y>0.0945</cdr:y>
    </cdr:to>
    <cdr:sp>
      <cdr:nvSpPr>
        <cdr:cNvPr id="2" name="Rectangle 2"/>
        <cdr:cNvSpPr>
          <a:spLocks/>
        </cdr:cNvSpPr>
      </cdr:nvSpPr>
      <cdr:spPr>
        <a:xfrm>
          <a:off x="7600950" y="400050"/>
          <a:ext cx="561975" cy="133350"/>
        </a:xfrm>
        <a:prstGeom prst="rect">
          <a:avLst/>
        </a:prstGeom>
        <a:solidFill>
          <a:srgbClr val="FF00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0.11525</cdr:y>
    </cdr:from>
    <cdr:to>
      <cdr:x>0.88375</cdr:x>
      <cdr:y>0.139</cdr:y>
    </cdr:to>
    <cdr:sp>
      <cdr:nvSpPr>
        <cdr:cNvPr id="3" name="Rectangle 3"/>
        <cdr:cNvSpPr>
          <a:spLocks/>
        </cdr:cNvSpPr>
      </cdr:nvSpPr>
      <cdr:spPr>
        <a:xfrm>
          <a:off x="7600950" y="657225"/>
          <a:ext cx="561975" cy="1333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0.054</cdr:y>
    </cdr:from>
    <cdr:to>
      <cdr:x>0.95</cdr:x>
      <cdr:y>0.162</cdr:y>
    </cdr:to>
    <cdr:sp>
      <cdr:nvSpPr>
        <cdr:cNvPr id="4" name="TextBox 5"/>
        <cdr:cNvSpPr txBox="1">
          <a:spLocks noChangeArrowheads="1"/>
        </cdr:cNvSpPr>
      </cdr:nvSpPr>
      <cdr:spPr>
        <a:xfrm>
          <a:off x="8229600" y="304800"/>
          <a:ext cx="5429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2000
1991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irc/DownLoad/g4udU51HciIubFw6bMVrHlc0Rc9YW8Bu/-qVKxEjCfkTbEyIqw5Ht-bYTcFl2eKd0/H8WVHgZtIylTuR-Rx62kS/TERM%202002%2000%20EU%20-%20Basedata%20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Documents%20and%20Settings\ridder\Local%20Settings\Temporary%20Internet%20Files\OLKB1\Flight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irc/DownLoad/g4udU51HciIubFw6bMVrHlc0Rc9YW8Bu/-qVKxEjCfkTbEyIqw5Ht-bYTcFl2eKd0/H8WVHgZtIylTuR-Rx62kS/TERM%202002%2032%20EU%20-%20Size%20of%20the%20vehicle%20fl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irc/DownLoad/g4udU51HciIubFw6bMVrHlc0Rc9YW8Bu/-qVKxEjCfkTbEyIqw5Ht-bYTcFl2eKd0/H8WVHgZtIylTuR-Rx62kS/TERM%202002%2000%20EU+AC%20-%20Base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Data%20en%20informatie\Pocketbook%20DGTREN\ETIF_2002_part_3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2003%2000%20EUAC%20-%20Base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"/>
      <sheetName val="basedata_SI_gdp"/>
      <sheetName val="basedata_eurostat_GDP"/>
      <sheetName val="manip_POP"/>
      <sheetName val="basedata_pop"/>
      <sheetName val="basedata_surface"/>
    </sheetNames>
    <sheetDataSet>
      <sheetData sheetId="4">
        <row r="25">
          <cell r="B25">
            <v>374.8123800000001</v>
          </cell>
          <cell r="C25">
            <v>10.203008</v>
          </cell>
          <cell r="D25">
            <v>5.301304</v>
          </cell>
          <cell r="E25">
            <v>82.028947</v>
          </cell>
          <cell r="F25">
            <v>10.516366</v>
          </cell>
          <cell r="G25">
            <v>39.371147</v>
          </cell>
          <cell r="H25">
            <v>58.8</v>
          </cell>
          <cell r="I25">
            <v>3.704878</v>
          </cell>
          <cell r="J25">
            <v>57.587985</v>
          </cell>
          <cell r="K25">
            <v>0.42645</v>
          </cell>
          <cell r="L25">
            <v>15.707209</v>
          </cell>
          <cell r="M25">
            <v>8.092254</v>
          </cell>
          <cell r="N25">
            <v>9.96836</v>
          </cell>
          <cell r="O25">
            <v>5.153498</v>
          </cell>
          <cell r="P25">
            <v>8.850974</v>
          </cell>
          <cell r="Q25">
            <v>59.1</v>
          </cell>
        </row>
        <row r="26">
          <cell r="B26">
            <v>376</v>
          </cell>
          <cell r="C26">
            <v>10.2</v>
          </cell>
          <cell r="D26">
            <v>5.3</v>
          </cell>
          <cell r="E26">
            <v>82.1</v>
          </cell>
          <cell r="F26">
            <v>10.5</v>
          </cell>
          <cell r="G26">
            <v>39.4</v>
          </cell>
          <cell r="H26">
            <v>59.1</v>
          </cell>
          <cell r="I26">
            <v>3.8</v>
          </cell>
          <cell r="J26">
            <v>57.7</v>
          </cell>
          <cell r="K26">
            <v>0.4</v>
          </cell>
          <cell r="L26">
            <v>15.8</v>
          </cell>
          <cell r="M26">
            <v>8.1</v>
          </cell>
          <cell r="N26">
            <v>10</v>
          </cell>
          <cell r="O26">
            <v>5.2</v>
          </cell>
          <cell r="P26">
            <v>8.9</v>
          </cell>
          <cell r="Q26">
            <v>59.5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omestic"/>
      <sheetName val="IntraEuropean"/>
      <sheetName val="Total"/>
    </sheetNames>
    <sheetDataSet>
      <sheetData sheetId="1">
        <row r="5">
          <cell r="B5">
            <v>0</v>
          </cell>
          <cell r="C5">
            <v>0</v>
          </cell>
        </row>
        <row r="6">
          <cell r="B6">
            <v>3275780</v>
          </cell>
          <cell r="C6">
            <v>2967441</v>
          </cell>
          <cell r="D6">
            <v>2969512</v>
          </cell>
          <cell r="E6">
            <v>4269476</v>
          </cell>
          <cell r="F6">
            <v>4161231</v>
          </cell>
          <cell r="G6">
            <v>3939739</v>
          </cell>
          <cell r="H6">
            <v>4073258</v>
          </cell>
          <cell r="I6">
            <v>4109227</v>
          </cell>
          <cell r="J6">
            <v>4365749</v>
          </cell>
          <cell r="K6">
            <v>4572326</v>
          </cell>
          <cell r="L6">
            <v>4920965</v>
          </cell>
        </row>
        <row r="7">
          <cell r="B7">
            <v>2851877</v>
          </cell>
          <cell r="C7">
            <v>4076911</v>
          </cell>
          <cell r="D7">
            <v>4590495</v>
          </cell>
          <cell r="E7">
            <v>4919398</v>
          </cell>
          <cell r="F7">
            <v>4870856</v>
          </cell>
          <cell r="G7">
            <v>5120778</v>
          </cell>
          <cell r="H7">
            <v>4974035</v>
          </cell>
          <cell r="I7">
            <v>4812118</v>
          </cell>
          <cell r="J7">
            <v>5230647</v>
          </cell>
          <cell r="K7">
            <v>5649101</v>
          </cell>
          <cell r="L7">
            <v>6120349</v>
          </cell>
        </row>
        <row r="8">
          <cell r="B8">
            <v>1175379</v>
          </cell>
          <cell r="C8">
            <v>962722</v>
          </cell>
          <cell r="D8">
            <v>999421</v>
          </cell>
          <cell r="E8">
            <v>935138</v>
          </cell>
          <cell r="F8">
            <v>975720</v>
          </cell>
          <cell r="G8">
            <v>1049650</v>
          </cell>
          <cell r="H8">
            <v>1106457</v>
          </cell>
          <cell r="I8">
            <v>1234319</v>
          </cell>
          <cell r="J8">
            <v>1105692</v>
          </cell>
          <cell r="K8">
            <v>1072293</v>
          </cell>
          <cell r="L8">
            <v>1071609</v>
          </cell>
        </row>
        <row r="9">
          <cell r="B9">
            <v>4772048</v>
          </cell>
          <cell r="C9">
            <v>4906110</v>
          </cell>
          <cell r="D9">
            <v>6083527</v>
          </cell>
          <cell r="E9">
            <v>5372876</v>
          </cell>
          <cell r="F9">
            <v>4928428</v>
          </cell>
          <cell r="G9">
            <v>3937872</v>
          </cell>
          <cell r="H9">
            <v>5059035</v>
          </cell>
          <cell r="I9">
            <v>5539910</v>
          </cell>
          <cell r="J9">
            <v>8614377</v>
          </cell>
          <cell r="K9">
            <v>11463121</v>
          </cell>
          <cell r="L9">
            <v>12795675</v>
          </cell>
        </row>
        <row r="10">
          <cell r="B10">
            <v>9131813</v>
          </cell>
          <cell r="C10">
            <v>8386356</v>
          </cell>
          <cell r="D10">
            <v>7288483</v>
          </cell>
          <cell r="E10">
            <v>7149203</v>
          </cell>
          <cell r="F10">
            <v>7968842</v>
          </cell>
          <cell r="G10">
            <v>415818</v>
          </cell>
          <cell r="H10">
            <v>509623</v>
          </cell>
          <cell r="I10">
            <v>8576786</v>
          </cell>
          <cell r="J10">
            <v>8642653</v>
          </cell>
          <cell r="K10">
            <v>9223797</v>
          </cell>
          <cell r="L10">
            <v>9319490</v>
          </cell>
        </row>
        <row r="11">
          <cell r="B11">
            <v>70230</v>
          </cell>
          <cell r="C11">
            <v>61381</v>
          </cell>
          <cell r="D11">
            <v>60690</v>
          </cell>
          <cell r="E11">
            <v>51898</v>
          </cell>
          <cell r="F11">
            <v>57902</v>
          </cell>
          <cell r="G11">
            <v>71865</v>
          </cell>
          <cell r="H11">
            <v>67988</v>
          </cell>
          <cell r="I11">
            <v>59163</v>
          </cell>
          <cell r="J11">
            <v>68304</v>
          </cell>
          <cell r="K11">
            <v>72959</v>
          </cell>
          <cell r="L11">
            <v>80698</v>
          </cell>
        </row>
        <row r="12">
          <cell r="B12">
            <v>1983705</v>
          </cell>
          <cell r="C12">
            <v>1831152</v>
          </cell>
          <cell r="D12">
            <v>2029112</v>
          </cell>
          <cell r="E12">
            <v>1826519</v>
          </cell>
          <cell r="F12">
            <v>2347054</v>
          </cell>
          <cell r="G12">
            <v>5598741</v>
          </cell>
          <cell r="H12">
            <v>6277540</v>
          </cell>
          <cell r="I12">
            <v>7047198</v>
          </cell>
          <cell r="J12">
            <v>7094752</v>
          </cell>
          <cell r="K12">
            <v>7031973</v>
          </cell>
          <cell r="L12">
            <v>7221109</v>
          </cell>
        </row>
        <row r="13">
          <cell r="B13">
            <v>0</v>
          </cell>
          <cell r="C13">
            <v>0</v>
          </cell>
        </row>
        <row r="14">
          <cell r="B14">
            <v>7748</v>
          </cell>
          <cell r="C14">
            <v>2090</v>
          </cell>
          <cell r="D14">
            <v>0</v>
          </cell>
          <cell r="E14">
            <v>2876</v>
          </cell>
          <cell r="F14">
            <v>4242</v>
          </cell>
          <cell r="G14">
            <v>4823</v>
          </cell>
          <cell r="H14">
            <v>0</v>
          </cell>
        </row>
        <row r="15">
          <cell r="B15">
            <v>1722</v>
          </cell>
          <cell r="C15">
            <v>62</v>
          </cell>
          <cell r="D15">
            <v>94</v>
          </cell>
          <cell r="E15">
            <v>75</v>
          </cell>
          <cell r="F15">
            <v>1061</v>
          </cell>
          <cell r="G15">
            <v>1102</v>
          </cell>
          <cell r="H15">
            <v>2789</v>
          </cell>
          <cell r="I15">
            <v>1915</v>
          </cell>
          <cell r="J15">
            <v>1589</v>
          </cell>
          <cell r="K15">
            <v>3251</v>
          </cell>
          <cell r="L15">
            <v>0</v>
          </cell>
        </row>
        <row r="16">
          <cell r="B16">
            <v>768273</v>
          </cell>
          <cell r="C16">
            <v>825006</v>
          </cell>
          <cell r="D16">
            <v>878759</v>
          </cell>
          <cell r="E16">
            <v>896882</v>
          </cell>
          <cell r="F16">
            <v>969829</v>
          </cell>
          <cell r="G16">
            <v>1112949</v>
          </cell>
          <cell r="H16">
            <v>1155726</v>
          </cell>
          <cell r="I16">
            <v>1219506</v>
          </cell>
          <cell r="J16">
            <v>1381534</v>
          </cell>
          <cell r="K16">
            <v>1242308</v>
          </cell>
          <cell r="L16">
            <v>1219617</v>
          </cell>
        </row>
        <row r="17">
          <cell r="B17">
            <v>839942</v>
          </cell>
          <cell r="C17">
            <v>734316</v>
          </cell>
          <cell r="D17">
            <v>691050</v>
          </cell>
          <cell r="E17">
            <v>605025</v>
          </cell>
          <cell r="F17">
            <v>618691</v>
          </cell>
          <cell r="G17">
            <v>681189</v>
          </cell>
          <cell r="H17">
            <v>824886</v>
          </cell>
          <cell r="I17">
            <v>1099714</v>
          </cell>
          <cell r="J17">
            <v>1246468</v>
          </cell>
          <cell r="K17">
            <v>1210016</v>
          </cell>
          <cell r="L17">
            <v>1278703</v>
          </cell>
        </row>
        <row r="18">
          <cell r="B18">
            <v>3960537</v>
          </cell>
          <cell r="C18">
            <v>3580854</v>
          </cell>
          <cell r="D18">
            <v>5580584</v>
          </cell>
          <cell r="E18">
            <v>6026641</v>
          </cell>
          <cell r="F18">
            <v>6174016</v>
          </cell>
          <cell r="G18">
            <v>6493814</v>
          </cell>
          <cell r="H18">
            <v>6764520</v>
          </cell>
          <cell r="I18">
            <v>4726636</v>
          </cell>
          <cell r="J18">
            <v>4920626</v>
          </cell>
          <cell r="K18">
            <v>4857870</v>
          </cell>
          <cell r="L18">
            <v>5194823</v>
          </cell>
        </row>
      </sheetData>
      <sheetData sheetId="2">
        <row r="5">
          <cell r="B5">
            <v>1653988</v>
          </cell>
          <cell r="C5">
            <v>1681574</v>
          </cell>
          <cell r="D5">
            <v>1840474</v>
          </cell>
          <cell r="E5">
            <v>2234333</v>
          </cell>
          <cell r="F5">
            <v>2627374</v>
          </cell>
          <cell r="G5">
            <v>3183217</v>
          </cell>
          <cell r="H5">
            <v>3312376</v>
          </cell>
          <cell r="I5">
            <v>4524037</v>
          </cell>
          <cell r="J5">
            <v>5676299</v>
          </cell>
          <cell r="K5">
            <v>6513226</v>
          </cell>
          <cell r="L5">
            <v>7225474</v>
          </cell>
        </row>
        <row r="6">
          <cell r="B6">
            <v>5772350</v>
          </cell>
          <cell r="C6">
            <v>5485603</v>
          </cell>
          <cell r="D6">
            <v>5973270</v>
          </cell>
          <cell r="E6">
            <v>6621938</v>
          </cell>
          <cell r="F6">
            <v>6971220</v>
          </cell>
          <cell r="G6">
            <v>7301788</v>
          </cell>
          <cell r="H6">
            <v>7804046</v>
          </cell>
          <cell r="I6">
            <v>8535948</v>
          </cell>
          <cell r="J6">
            <v>8774148</v>
          </cell>
          <cell r="K6">
            <v>8744946</v>
          </cell>
          <cell r="L6">
            <v>9355711</v>
          </cell>
        </row>
        <row r="7">
          <cell r="B7">
            <v>7807933</v>
          </cell>
          <cell r="C7">
            <v>8064660</v>
          </cell>
          <cell r="D7">
            <v>9231677</v>
          </cell>
          <cell r="E7">
            <v>9947388</v>
          </cell>
          <cell r="F7">
            <v>10801280</v>
          </cell>
          <cell r="G7">
            <v>11974966</v>
          </cell>
          <cell r="H7">
            <v>12618554</v>
          </cell>
          <cell r="I7">
            <v>14029566</v>
          </cell>
          <cell r="J7">
            <v>15610936</v>
          </cell>
          <cell r="K7">
            <v>16732660</v>
          </cell>
          <cell r="L7">
            <v>18064997</v>
          </cell>
        </row>
        <row r="8">
          <cell r="B8">
            <v>2690957</v>
          </cell>
          <cell r="C8">
            <v>2185567</v>
          </cell>
          <cell r="D8">
            <v>2584793</v>
          </cell>
          <cell r="E8">
            <v>2710464</v>
          </cell>
          <cell r="F8">
            <v>3055558</v>
          </cell>
          <cell r="G8">
            <v>3009843</v>
          </cell>
          <cell r="H8">
            <v>3149341</v>
          </cell>
          <cell r="I8">
            <v>3536525</v>
          </cell>
          <cell r="J8">
            <v>3268607</v>
          </cell>
          <cell r="K8">
            <v>3245769</v>
          </cell>
          <cell r="L8">
            <v>3738782</v>
          </cell>
        </row>
        <row r="9">
          <cell r="B9">
            <v>6587155</v>
          </cell>
          <cell r="C9">
            <v>5393944</v>
          </cell>
          <cell r="D9">
            <v>5422256</v>
          </cell>
          <cell r="E9">
            <v>5572699</v>
          </cell>
          <cell r="F9">
            <v>5280937</v>
          </cell>
          <cell r="G9">
            <v>6594929</v>
          </cell>
          <cell r="H9">
            <v>6556475</v>
          </cell>
          <cell r="I9">
            <v>6824435</v>
          </cell>
          <cell r="J9">
            <v>7523045</v>
          </cell>
          <cell r="K9">
            <v>7902027</v>
          </cell>
          <cell r="L9">
            <v>9322537</v>
          </cell>
        </row>
        <row r="10">
          <cell r="B10">
            <v>6080999</v>
          </cell>
          <cell r="C10">
            <v>5458594</v>
          </cell>
          <cell r="D10">
            <v>5826127</v>
          </cell>
          <cell r="E10">
            <v>5725775</v>
          </cell>
          <cell r="F10">
            <v>6332695</v>
          </cell>
          <cell r="G10">
            <v>5876117</v>
          </cell>
          <cell r="H10">
            <v>6513589</v>
          </cell>
          <cell r="I10">
            <v>7871656</v>
          </cell>
          <cell r="J10">
            <v>8033406</v>
          </cell>
          <cell r="K10">
            <v>9381706</v>
          </cell>
          <cell r="L10">
            <v>10362602</v>
          </cell>
        </row>
        <row r="11">
          <cell r="B11">
            <v>1730861</v>
          </cell>
          <cell r="C11">
            <v>1797325</v>
          </cell>
          <cell r="D11">
            <v>1798505</v>
          </cell>
          <cell r="E11">
            <v>1661050</v>
          </cell>
          <cell r="F11">
            <v>1656821</v>
          </cell>
          <cell r="G11">
            <v>1824811</v>
          </cell>
          <cell r="H11">
            <v>1977770</v>
          </cell>
          <cell r="I11">
            <v>2197432</v>
          </cell>
          <cell r="J11">
            <v>2413845</v>
          </cell>
          <cell r="K11">
            <v>2749788</v>
          </cell>
          <cell r="L11">
            <v>2878785</v>
          </cell>
        </row>
        <row r="12">
          <cell r="B12">
            <v>4834393</v>
          </cell>
          <cell r="C12">
            <v>4837652</v>
          </cell>
          <cell r="D12">
            <v>5589665</v>
          </cell>
          <cell r="E12">
            <v>5687700</v>
          </cell>
          <cell r="F12">
            <v>6381620</v>
          </cell>
          <cell r="G12">
            <v>6881950</v>
          </cell>
          <cell r="H12">
            <v>7829543</v>
          </cell>
          <cell r="I12">
            <v>7898212</v>
          </cell>
          <cell r="J12">
            <v>7447631</v>
          </cell>
          <cell r="K12">
            <v>7291016</v>
          </cell>
          <cell r="L12">
            <v>7759396</v>
          </cell>
        </row>
        <row r="13">
          <cell r="B13">
            <v>253136</v>
          </cell>
          <cell r="C13">
            <v>258169</v>
          </cell>
          <cell r="D13">
            <v>286118</v>
          </cell>
          <cell r="E13">
            <v>290451</v>
          </cell>
          <cell r="F13">
            <v>361150</v>
          </cell>
          <cell r="G13">
            <v>380074</v>
          </cell>
          <cell r="H13">
            <v>420996</v>
          </cell>
          <cell r="I13">
            <v>446551</v>
          </cell>
          <cell r="J13">
            <v>453941</v>
          </cell>
          <cell r="K13">
            <v>552126</v>
          </cell>
          <cell r="L13">
            <v>557327</v>
          </cell>
        </row>
        <row r="14">
          <cell r="B14">
            <v>2753772</v>
          </cell>
          <cell r="C14">
            <v>2825553</v>
          </cell>
          <cell r="D14">
            <v>3400537</v>
          </cell>
          <cell r="E14">
            <v>4068437</v>
          </cell>
          <cell r="F14">
            <v>4970776</v>
          </cell>
          <cell r="G14">
            <v>5120703</v>
          </cell>
          <cell r="H14">
            <v>5587187</v>
          </cell>
          <cell r="I14">
            <v>6517234</v>
          </cell>
          <cell r="J14">
            <v>6984161</v>
          </cell>
          <cell r="K14">
            <v>7445784</v>
          </cell>
          <cell r="L14">
            <v>8140130</v>
          </cell>
        </row>
        <row r="15">
          <cell r="B15">
            <v>1712553</v>
          </cell>
          <cell r="C15">
            <v>1773015</v>
          </cell>
          <cell r="D15">
            <v>1976995</v>
          </cell>
          <cell r="E15">
            <v>1977559</v>
          </cell>
          <cell r="F15">
            <v>1976931</v>
          </cell>
          <cell r="G15">
            <v>2116535</v>
          </cell>
          <cell r="H15">
            <v>2111930</v>
          </cell>
          <cell r="I15">
            <v>2184558</v>
          </cell>
          <cell r="J15">
            <v>2442856</v>
          </cell>
          <cell r="K15">
            <v>2347903</v>
          </cell>
          <cell r="L15">
            <v>2433876</v>
          </cell>
        </row>
        <row r="16">
          <cell r="B16">
            <v>2445803</v>
          </cell>
          <cell r="C16">
            <v>2607528</v>
          </cell>
          <cell r="D16">
            <v>2837759</v>
          </cell>
          <cell r="E16">
            <v>2991902</v>
          </cell>
          <cell r="F16">
            <v>2812168</v>
          </cell>
          <cell r="G16">
            <v>2954191</v>
          </cell>
          <cell r="H16">
            <v>3100133</v>
          </cell>
          <cell r="I16">
            <v>3339174</v>
          </cell>
          <cell r="J16">
            <v>3481075</v>
          </cell>
          <cell r="K16">
            <v>3502860</v>
          </cell>
          <cell r="L16">
            <v>3966798</v>
          </cell>
        </row>
        <row r="17">
          <cell r="B17">
            <v>1862681</v>
          </cell>
          <cell r="C17">
            <v>1682751</v>
          </cell>
          <cell r="D17">
            <v>1728691</v>
          </cell>
          <cell r="E17">
            <v>2053116</v>
          </cell>
          <cell r="F17">
            <v>2878504</v>
          </cell>
          <cell r="G17">
            <v>4365527</v>
          </cell>
          <cell r="H17">
            <v>4452975</v>
          </cell>
          <cell r="I17">
            <v>5124372</v>
          </cell>
          <cell r="J17">
            <v>5957860</v>
          </cell>
          <cell r="K17">
            <v>3423655</v>
          </cell>
          <cell r="L17">
            <v>3462752</v>
          </cell>
        </row>
        <row r="18">
          <cell r="B18">
            <v>10218404</v>
          </cell>
          <cell r="C18">
            <v>9449657</v>
          </cell>
          <cell r="D18">
            <v>11901586</v>
          </cell>
          <cell r="E18">
            <v>13611059</v>
          </cell>
          <cell r="F18">
            <v>14958368</v>
          </cell>
          <cell r="G18">
            <v>15755885</v>
          </cell>
          <cell r="H18">
            <v>16626477</v>
          </cell>
          <cell r="I18">
            <v>17364200</v>
          </cell>
          <cell r="J18">
            <v>18942678</v>
          </cell>
          <cell r="K18">
            <v>18837178</v>
          </cell>
          <cell r="L18">
            <v>19470074</v>
          </cell>
        </row>
      </sheetData>
      <sheetData sheetId="3">
        <row r="5">
          <cell r="B5">
            <v>7572428</v>
          </cell>
          <cell r="C5">
            <v>6223080</v>
          </cell>
          <cell r="D5">
            <v>6202586</v>
          </cell>
          <cell r="E5">
            <v>6485297</v>
          </cell>
          <cell r="F5">
            <v>7496971</v>
          </cell>
          <cell r="G5">
            <v>8619822</v>
          </cell>
          <cell r="H5">
            <v>9011305</v>
          </cell>
          <cell r="I5">
            <v>11273577</v>
          </cell>
          <cell r="J5">
            <v>15338481</v>
          </cell>
          <cell r="K5">
            <v>17692968</v>
          </cell>
          <cell r="L5">
            <v>19378689</v>
          </cell>
        </row>
        <row r="6">
          <cell r="B6">
            <v>16516010</v>
          </cell>
          <cell r="C6">
            <v>15416381</v>
          </cell>
          <cell r="D6">
            <v>15698524</v>
          </cell>
          <cell r="E6">
            <v>18138544</v>
          </cell>
          <cell r="F6">
            <v>18465653</v>
          </cell>
          <cell r="G6">
            <v>18506031</v>
          </cell>
          <cell r="H6">
            <v>19487104</v>
          </cell>
          <cell r="I6">
            <v>20330596</v>
          </cell>
          <cell r="J6">
            <v>20821193</v>
          </cell>
          <cell r="K6">
            <v>21160004</v>
          </cell>
          <cell r="L6">
            <v>22647287</v>
          </cell>
        </row>
        <row r="7">
          <cell r="B7">
            <v>41902960</v>
          </cell>
          <cell r="C7">
            <v>42684676</v>
          </cell>
          <cell r="D7">
            <v>48660520</v>
          </cell>
          <cell r="E7">
            <v>52657860</v>
          </cell>
          <cell r="F7">
            <v>56536241</v>
          </cell>
          <cell r="G7">
            <v>61602175</v>
          </cell>
          <cell r="H7">
            <v>63260201</v>
          </cell>
          <cell r="I7">
            <v>71353013</v>
          </cell>
          <cell r="J7">
            <v>75437856</v>
          </cell>
          <cell r="K7">
            <v>86153733</v>
          </cell>
          <cell r="L7">
            <v>94169552</v>
          </cell>
        </row>
        <row r="8">
          <cell r="B8">
            <v>7764413</v>
          </cell>
          <cell r="C8">
            <v>6193360</v>
          </cell>
          <cell r="D8">
            <v>7262379</v>
          </cell>
          <cell r="E8">
            <v>7898715</v>
          </cell>
          <cell r="F8">
            <v>8428539</v>
          </cell>
          <cell r="G8">
            <v>7945009</v>
          </cell>
          <cell r="H8">
            <v>8533168</v>
          </cell>
          <cell r="I8">
            <v>9260648</v>
          </cell>
          <cell r="J8">
            <v>8561155</v>
          </cell>
          <cell r="K8">
            <v>8305451</v>
          </cell>
          <cell r="L8">
            <v>8859508</v>
          </cell>
        </row>
        <row r="9">
          <cell r="B9">
            <v>22111812</v>
          </cell>
          <cell r="C9">
            <v>20472786</v>
          </cell>
          <cell r="D9">
            <v>23857280</v>
          </cell>
          <cell r="E9">
            <v>23265413</v>
          </cell>
          <cell r="F9">
            <v>22530577</v>
          </cell>
          <cell r="G9">
            <v>23811489</v>
          </cell>
          <cell r="H9">
            <v>25920046</v>
          </cell>
          <cell r="I9">
            <v>27633890</v>
          </cell>
          <cell r="J9">
            <v>32520695</v>
          </cell>
          <cell r="K9">
            <v>39255966</v>
          </cell>
          <cell r="L9">
            <v>45463477</v>
          </cell>
        </row>
        <row r="10">
          <cell r="B10">
            <v>42753898</v>
          </cell>
          <cell r="C10">
            <v>39479397</v>
          </cell>
          <cell r="D10">
            <v>42996627</v>
          </cell>
          <cell r="E10">
            <v>43534607</v>
          </cell>
          <cell r="F10">
            <v>50119396</v>
          </cell>
          <cell r="G10">
            <v>49515381</v>
          </cell>
          <cell r="H10">
            <v>57472329</v>
          </cell>
          <cell r="I10">
            <v>69988554</v>
          </cell>
          <cell r="J10">
            <v>74546499</v>
          </cell>
          <cell r="K10">
            <v>83822531</v>
          </cell>
          <cell r="L10">
            <v>91801290</v>
          </cell>
        </row>
        <row r="11">
          <cell r="B11">
            <v>4190488</v>
          </cell>
          <cell r="C11">
            <v>3786190</v>
          </cell>
          <cell r="D11">
            <v>4010679</v>
          </cell>
          <cell r="E11">
            <v>3759247</v>
          </cell>
          <cell r="F11">
            <v>4280545</v>
          </cell>
          <cell r="G11">
            <v>4660790</v>
          </cell>
          <cell r="H11">
            <v>5126177</v>
          </cell>
          <cell r="I11">
            <v>5892464</v>
          </cell>
          <cell r="J11">
            <v>6466383</v>
          </cell>
          <cell r="K11">
            <v>7601888</v>
          </cell>
          <cell r="L11">
            <v>8888677</v>
          </cell>
        </row>
        <row r="12">
          <cell r="B12">
            <v>19125630</v>
          </cell>
          <cell r="C12">
            <v>18187283</v>
          </cell>
          <cell r="D12">
            <v>23586029</v>
          </cell>
          <cell r="E12">
            <v>24520364</v>
          </cell>
          <cell r="F12">
            <v>26962295</v>
          </cell>
          <cell r="G12">
            <v>31952753</v>
          </cell>
          <cell r="H12">
            <v>34556182</v>
          </cell>
          <cell r="I12">
            <v>35992322</v>
          </cell>
          <cell r="J12">
            <v>35560996</v>
          </cell>
          <cell r="K12">
            <v>36689998</v>
          </cell>
          <cell r="L12">
            <v>40618183</v>
          </cell>
        </row>
        <row r="13">
          <cell r="B13">
            <v>253136</v>
          </cell>
          <cell r="C13">
            <v>258169</v>
          </cell>
          <cell r="D13">
            <v>286118</v>
          </cell>
          <cell r="E13">
            <v>290451</v>
          </cell>
          <cell r="F13">
            <v>361150</v>
          </cell>
          <cell r="G13">
            <v>380074</v>
          </cell>
          <cell r="H13">
            <v>420996</v>
          </cell>
          <cell r="I13">
            <v>446551</v>
          </cell>
          <cell r="J13">
            <v>453941</v>
          </cell>
          <cell r="K13">
            <v>738233</v>
          </cell>
          <cell r="L13">
            <v>557327</v>
          </cell>
        </row>
        <row r="14">
          <cell r="B14">
            <v>26389622</v>
          </cell>
          <cell r="C14">
            <v>27307016</v>
          </cell>
          <cell r="D14">
            <v>31695354</v>
          </cell>
          <cell r="E14">
            <v>36806634</v>
          </cell>
          <cell r="F14">
            <v>40837608</v>
          </cell>
          <cell r="G14">
            <v>44457608</v>
          </cell>
          <cell r="H14">
            <v>48857143</v>
          </cell>
          <cell r="I14">
            <v>55387799</v>
          </cell>
          <cell r="J14">
            <v>57278828</v>
          </cell>
          <cell r="K14">
            <v>58112547</v>
          </cell>
          <cell r="L14">
            <v>60326619</v>
          </cell>
        </row>
        <row r="15">
          <cell r="B15">
            <v>2818911</v>
          </cell>
          <cell r="C15">
            <v>2853059</v>
          </cell>
          <cell r="D15">
            <v>3650293</v>
          </cell>
          <cell r="E15">
            <v>3746915</v>
          </cell>
          <cell r="F15">
            <v>3833021</v>
          </cell>
          <cell r="G15">
            <v>4913341</v>
          </cell>
          <cell r="H15">
            <v>5438313</v>
          </cell>
          <cell r="I15">
            <v>6229601</v>
          </cell>
          <cell r="J15">
            <v>7283537</v>
          </cell>
          <cell r="K15">
            <v>7890834</v>
          </cell>
          <cell r="L15">
            <v>8798959</v>
          </cell>
        </row>
        <row r="16">
          <cell r="B16">
            <v>6835646</v>
          </cell>
          <cell r="C16">
            <v>7024811</v>
          </cell>
          <cell r="D16">
            <v>7671362</v>
          </cell>
          <cell r="E16">
            <v>7868061</v>
          </cell>
          <cell r="F16">
            <v>7585727</v>
          </cell>
          <cell r="G16">
            <v>7716008</v>
          </cell>
          <cell r="H16">
            <v>7977814</v>
          </cell>
          <cell r="I16">
            <v>8772596</v>
          </cell>
          <cell r="J16">
            <v>9355945</v>
          </cell>
          <cell r="K16">
            <v>9379761</v>
          </cell>
          <cell r="L16">
            <v>10385019</v>
          </cell>
        </row>
        <row r="17">
          <cell r="B17">
            <v>4709345</v>
          </cell>
          <cell r="C17">
            <v>4537440</v>
          </cell>
          <cell r="D17">
            <v>4446259</v>
          </cell>
          <cell r="E17">
            <v>5316561</v>
          </cell>
          <cell r="F17">
            <v>6490152</v>
          </cell>
          <cell r="G17">
            <v>8340120</v>
          </cell>
          <cell r="H17">
            <v>8573236</v>
          </cell>
          <cell r="I17">
            <v>9628776</v>
          </cell>
          <cell r="J17">
            <v>10713681</v>
          </cell>
          <cell r="K17">
            <v>7802480</v>
          </cell>
          <cell r="L17">
            <v>7467182</v>
          </cell>
        </row>
        <row r="18">
          <cell r="B18">
            <v>66794988</v>
          </cell>
          <cell r="C18">
            <v>62834832</v>
          </cell>
          <cell r="D18">
            <v>74298158</v>
          </cell>
          <cell r="E18">
            <v>82028052</v>
          </cell>
          <cell r="F18">
            <v>88447607</v>
          </cell>
          <cell r="G18">
            <v>96336120</v>
          </cell>
          <cell r="H18">
            <v>103274696</v>
          </cell>
          <cell r="I18">
            <v>108677220</v>
          </cell>
          <cell r="J18">
            <v>119070944</v>
          </cell>
          <cell r="K18">
            <v>121416075</v>
          </cell>
          <cell r="L18">
            <v>122726432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private_motorisation"/>
      <sheetName val="data_private_motorisation"/>
      <sheetName val="Chart_cars_1990-1999"/>
      <sheetName val="data_cars_1990-1999"/>
      <sheetName val="Chart_dieselification"/>
      <sheetName val="data_dieselification"/>
      <sheetName val="Chart_bicycles_ownership"/>
      <sheetName val="data_bicycle_ownership"/>
      <sheetName val="Chart_bicyles_sales"/>
      <sheetName val="data_bicycle_sales"/>
      <sheetName val="EU15_totals"/>
      <sheetName val="manip_cars"/>
      <sheetName val="basedata_cars"/>
      <sheetName val="manip_ptw"/>
      <sheetName val="basedata_ptw"/>
      <sheetName val="manip_bus+coach"/>
      <sheetName val="basedata_bus+coach"/>
      <sheetName val="manip_goods"/>
      <sheetName val="basedata_goods"/>
      <sheetName val="manip_cars_by_energy_source"/>
      <sheetName val="basedata_cars_by_energy_source"/>
      <sheetName val="end"/>
      <sheetName val="basedata_bicycles"/>
      <sheetName val="correlation_car+pkm+accidents"/>
    </sheetNames>
    <sheetDataSet>
      <sheetData sheetId="24">
        <row r="5">
          <cell r="B5">
            <v>143.22159499999998</v>
          </cell>
          <cell r="C5">
            <v>3.864159</v>
          </cell>
          <cell r="D5">
            <v>1.59</v>
          </cell>
          <cell r="E5">
            <v>35.501811000000004</v>
          </cell>
          <cell r="F5">
            <v>1.735</v>
          </cell>
          <cell r="G5">
            <v>11.99564</v>
          </cell>
          <cell r="H5">
            <v>23.55</v>
          </cell>
          <cell r="I5">
            <v>0.796408</v>
          </cell>
          <cell r="J5">
            <v>27.416</v>
          </cell>
          <cell r="K5">
            <v>0.18340399999999998</v>
          </cell>
          <cell r="L5">
            <v>5.509173</v>
          </cell>
          <cell r="M5">
            <v>2.991</v>
          </cell>
          <cell r="N5">
            <v>1.849</v>
          </cell>
          <cell r="O5">
            <v>1.939</v>
          </cell>
          <cell r="P5">
            <v>3.601</v>
          </cell>
          <cell r="Q5">
            <v>20.7</v>
          </cell>
        </row>
        <row r="6">
          <cell r="B6">
            <v>146.904</v>
          </cell>
          <cell r="C6">
            <v>3.97</v>
          </cell>
          <cell r="D6">
            <v>1.594</v>
          </cell>
          <cell r="E6">
            <v>36.772</v>
          </cell>
          <cell r="F6">
            <v>1.777</v>
          </cell>
          <cell r="G6">
            <v>12.537</v>
          </cell>
          <cell r="H6">
            <v>23.8</v>
          </cell>
          <cell r="I6">
            <v>0.82</v>
          </cell>
          <cell r="J6">
            <v>28.435</v>
          </cell>
          <cell r="K6">
            <v>0.192</v>
          </cell>
          <cell r="L6">
            <v>5.554</v>
          </cell>
          <cell r="M6">
            <v>3.1</v>
          </cell>
          <cell r="N6">
            <v>2.011</v>
          </cell>
          <cell r="O6">
            <v>1.923</v>
          </cell>
          <cell r="P6">
            <v>3.619</v>
          </cell>
          <cell r="Q6">
            <v>20.8</v>
          </cell>
        </row>
        <row r="7">
          <cell r="B7">
            <v>150.341</v>
          </cell>
          <cell r="C7">
            <v>4.021</v>
          </cell>
          <cell r="D7">
            <v>1.605</v>
          </cell>
          <cell r="E7">
            <v>37.947</v>
          </cell>
          <cell r="F7">
            <v>1.829</v>
          </cell>
          <cell r="G7">
            <v>13.102</v>
          </cell>
          <cell r="H7">
            <v>24</v>
          </cell>
          <cell r="I7">
            <v>0.858</v>
          </cell>
          <cell r="J7">
            <v>29.43</v>
          </cell>
          <cell r="K7">
            <v>0.201</v>
          </cell>
          <cell r="L7">
            <v>5.658</v>
          </cell>
          <cell r="M7">
            <v>3.245</v>
          </cell>
          <cell r="N7">
            <v>2.02</v>
          </cell>
          <cell r="O7">
            <v>1.936</v>
          </cell>
          <cell r="P7">
            <v>3.589</v>
          </cell>
          <cell r="Q7">
            <v>20.9</v>
          </cell>
        </row>
        <row r="8">
          <cell r="B8">
            <v>153.24069400000002</v>
          </cell>
          <cell r="C8">
            <v>4.11</v>
          </cell>
          <cell r="D8">
            <v>1.618</v>
          </cell>
          <cell r="E8">
            <v>38.892</v>
          </cell>
          <cell r="F8">
            <v>1.958</v>
          </cell>
          <cell r="G8">
            <v>13.440694</v>
          </cell>
          <cell r="H8">
            <v>24.4</v>
          </cell>
          <cell r="I8">
            <v>0.891</v>
          </cell>
          <cell r="J8">
            <v>29.652</v>
          </cell>
          <cell r="K8">
            <v>0.208</v>
          </cell>
          <cell r="L8">
            <v>5.755</v>
          </cell>
          <cell r="M8">
            <v>3.367</v>
          </cell>
          <cell r="N8">
            <v>2.21</v>
          </cell>
          <cell r="O8">
            <v>1.873</v>
          </cell>
          <cell r="P8">
            <v>3.566</v>
          </cell>
          <cell r="Q8">
            <v>21.3</v>
          </cell>
        </row>
        <row r="9">
          <cell r="B9">
            <v>156.3577794</v>
          </cell>
          <cell r="C9">
            <v>4.173</v>
          </cell>
          <cell r="D9">
            <v>1.625</v>
          </cell>
          <cell r="E9">
            <v>39.765</v>
          </cell>
          <cell r="F9">
            <v>2.074</v>
          </cell>
          <cell r="G9">
            <v>13.7337794</v>
          </cell>
          <cell r="H9">
            <v>24.9</v>
          </cell>
          <cell r="I9">
            <v>0.939</v>
          </cell>
          <cell r="J9">
            <v>30</v>
          </cell>
          <cell r="K9">
            <v>0.218</v>
          </cell>
          <cell r="L9">
            <v>5.884</v>
          </cell>
          <cell r="M9">
            <v>3.48</v>
          </cell>
          <cell r="N9">
            <v>2.4</v>
          </cell>
          <cell r="O9">
            <v>1.872</v>
          </cell>
          <cell r="P9">
            <v>3.594</v>
          </cell>
          <cell r="Q9">
            <v>21.7</v>
          </cell>
        </row>
        <row r="10">
          <cell r="B10">
            <v>158.566259</v>
          </cell>
          <cell r="C10">
            <v>4.273</v>
          </cell>
          <cell r="D10">
            <v>1.67</v>
          </cell>
          <cell r="E10">
            <v>40.404</v>
          </cell>
          <cell r="F10">
            <v>2.205</v>
          </cell>
          <cell r="G10">
            <v>14.212259</v>
          </cell>
          <cell r="H10">
            <v>25.1</v>
          </cell>
          <cell r="I10">
            <v>0.955</v>
          </cell>
          <cell r="J10">
            <v>30.3</v>
          </cell>
          <cell r="K10">
            <v>0.229</v>
          </cell>
          <cell r="L10">
            <v>5.633</v>
          </cell>
          <cell r="M10">
            <v>3.594</v>
          </cell>
          <cell r="N10">
            <v>2.56</v>
          </cell>
          <cell r="O10">
            <v>1.9</v>
          </cell>
          <cell r="P10">
            <v>3.631</v>
          </cell>
          <cell r="Q10">
            <v>21.9</v>
          </cell>
        </row>
        <row r="11">
          <cell r="B11">
            <v>161.923809</v>
          </cell>
          <cell r="C11">
            <v>4.339</v>
          </cell>
          <cell r="D11">
            <v>1.739</v>
          </cell>
          <cell r="E11">
            <v>40.988</v>
          </cell>
          <cell r="F11">
            <v>2.339</v>
          </cell>
          <cell r="G11">
            <v>14.753809</v>
          </cell>
          <cell r="H11">
            <v>25.5</v>
          </cell>
          <cell r="I11">
            <v>0.987</v>
          </cell>
          <cell r="J11">
            <v>30.467</v>
          </cell>
          <cell r="K11">
            <v>0.232</v>
          </cell>
          <cell r="L11">
            <v>5.74</v>
          </cell>
          <cell r="M11">
            <v>3.691</v>
          </cell>
          <cell r="N11">
            <v>2.75</v>
          </cell>
          <cell r="O11">
            <v>1.943</v>
          </cell>
          <cell r="P11">
            <v>3.655</v>
          </cell>
          <cell r="Q11">
            <v>22.8</v>
          </cell>
        </row>
        <row r="12">
          <cell r="B12">
            <v>165.30296600000003</v>
          </cell>
          <cell r="C12">
            <v>4.415</v>
          </cell>
          <cell r="D12">
            <v>1.783</v>
          </cell>
          <cell r="E12">
            <v>41.372</v>
          </cell>
          <cell r="F12">
            <v>2.5</v>
          </cell>
          <cell r="G12">
            <v>15.297366</v>
          </cell>
          <cell r="H12">
            <v>26.09</v>
          </cell>
          <cell r="I12">
            <v>1.1344</v>
          </cell>
          <cell r="J12">
            <v>30.741</v>
          </cell>
          <cell r="K12">
            <v>0.2368</v>
          </cell>
          <cell r="L12">
            <v>5.9</v>
          </cell>
          <cell r="M12">
            <v>3.7825</v>
          </cell>
          <cell r="N12">
            <v>2.9</v>
          </cell>
          <cell r="O12">
            <v>1.9481</v>
          </cell>
          <cell r="P12">
            <v>3.7028</v>
          </cell>
          <cell r="Q12">
            <v>23.5</v>
          </cell>
        </row>
        <row r="13">
          <cell r="B13">
            <v>168.992506</v>
          </cell>
          <cell r="C13">
            <v>4.492</v>
          </cell>
          <cell r="D13">
            <v>1.817</v>
          </cell>
          <cell r="E13">
            <v>41.674</v>
          </cell>
          <cell r="F13">
            <v>2.676</v>
          </cell>
          <cell r="G13">
            <v>16.05</v>
          </cell>
          <cell r="H13">
            <v>26.81</v>
          </cell>
          <cell r="I13">
            <v>1.149</v>
          </cell>
          <cell r="J13">
            <v>31.371</v>
          </cell>
          <cell r="K13">
            <v>0.253406</v>
          </cell>
          <cell r="L13">
            <v>6</v>
          </cell>
          <cell r="M13">
            <v>3.887</v>
          </cell>
          <cell r="N13">
            <v>3.1</v>
          </cell>
          <cell r="O13">
            <v>2.0211</v>
          </cell>
          <cell r="P13">
            <v>3.792</v>
          </cell>
          <cell r="Q13">
            <v>23.9</v>
          </cell>
        </row>
        <row r="14">
          <cell r="B14">
            <v>172.980683</v>
          </cell>
          <cell r="C14">
            <v>4.6</v>
          </cell>
          <cell r="D14">
            <v>1.817</v>
          </cell>
          <cell r="E14">
            <v>42.3</v>
          </cell>
          <cell r="F14">
            <v>2.9</v>
          </cell>
          <cell r="G14">
            <v>16.7</v>
          </cell>
          <cell r="H14">
            <v>27.5</v>
          </cell>
          <cell r="I14">
            <v>1.3</v>
          </cell>
          <cell r="J14">
            <v>31.4</v>
          </cell>
          <cell r="K14">
            <v>0.263683</v>
          </cell>
          <cell r="L14">
            <v>6.3</v>
          </cell>
          <cell r="M14">
            <v>4</v>
          </cell>
          <cell r="N14">
            <v>3.3</v>
          </cell>
          <cell r="O14">
            <v>2.1</v>
          </cell>
          <cell r="P14">
            <v>3.9</v>
          </cell>
          <cell r="Q14">
            <v>24.6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_EU"/>
      <sheetName val="manip_GDP_AC"/>
      <sheetName val="basedata_worldbank_GDP"/>
      <sheetName val="manip_POP_EU"/>
      <sheetName val="manip_POP_AC"/>
      <sheetName val="basedata_pop"/>
      <sheetName val="basedata_surface"/>
    </sheetNames>
    <sheetDataSet>
      <sheetData sheetId="4">
        <row r="5">
          <cell r="B5">
            <v>364558.8</v>
          </cell>
          <cell r="C5">
            <v>9967.4</v>
          </cell>
          <cell r="D5">
            <v>5140</v>
          </cell>
          <cell r="E5">
            <v>79433</v>
          </cell>
          <cell r="F5">
            <v>10161</v>
          </cell>
          <cell r="G5">
            <v>38836</v>
          </cell>
          <cell r="H5">
            <v>56735</v>
          </cell>
          <cell r="I5">
            <v>3505.8</v>
          </cell>
          <cell r="J5">
            <v>56719</v>
          </cell>
          <cell r="K5">
            <v>381.9</v>
          </cell>
          <cell r="L5">
            <v>14952</v>
          </cell>
          <cell r="M5">
            <v>7725.7</v>
          </cell>
          <cell r="N5">
            <v>9896</v>
          </cell>
          <cell r="O5">
            <v>4986</v>
          </cell>
          <cell r="P5">
            <v>8559</v>
          </cell>
          <cell r="Q5">
            <v>57561</v>
          </cell>
        </row>
        <row r="6">
          <cell r="B6">
            <v>366181.1000000001</v>
          </cell>
          <cell r="C6">
            <v>10004.5</v>
          </cell>
          <cell r="D6">
            <v>5154</v>
          </cell>
          <cell r="E6">
            <v>80014</v>
          </cell>
          <cell r="F6">
            <v>10247</v>
          </cell>
          <cell r="G6">
            <v>38916</v>
          </cell>
          <cell r="H6">
            <v>56977.5</v>
          </cell>
          <cell r="I6">
            <v>3525.7</v>
          </cell>
          <cell r="J6">
            <v>56751</v>
          </cell>
          <cell r="K6">
            <v>387.1</v>
          </cell>
          <cell r="L6">
            <v>15070</v>
          </cell>
          <cell r="M6">
            <v>7825.9</v>
          </cell>
          <cell r="N6">
            <v>9869</v>
          </cell>
          <cell r="O6">
            <v>5014</v>
          </cell>
          <cell r="P6">
            <v>8617.4</v>
          </cell>
          <cell r="Q6">
            <v>57808</v>
          </cell>
        </row>
        <row r="7">
          <cell r="B7">
            <v>367882.30000000005</v>
          </cell>
          <cell r="C7">
            <v>10045</v>
          </cell>
          <cell r="D7">
            <v>5170</v>
          </cell>
          <cell r="E7">
            <v>80624</v>
          </cell>
          <cell r="F7">
            <v>10322</v>
          </cell>
          <cell r="G7">
            <v>39006</v>
          </cell>
          <cell r="H7">
            <v>57242.3</v>
          </cell>
          <cell r="I7">
            <v>3549.1</v>
          </cell>
          <cell r="J7">
            <v>56859</v>
          </cell>
          <cell r="K7">
            <v>392.5</v>
          </cell>
          <cell r="L7">
            <v>15178</v>
          </cell>
          <cell r="M7">
            <v>7911.4</v>
          </cell>
          <cell r="N7">
            <v>9867</v>
          </cell>
          <cell r="O7">
            <v>5042</v>
          </cell>
          <cell r="P7">
            <v>8668</v>
          </cell>
          <cell r="Q7">
            <v>58006</v>
          </cell>
        </row>
        <row r="8">
          <cell r="B8">
            <v>369494.5999999999</v>
          </cell>
          <cell r="C8">
            <v>10084.5</v>
          </cell>
          <cell r="D8">
            <v>5189</v>
          </cell>
          <cell r="E8">
            <v>81156</v>
          </cell>
          <cell r="F8">
            <v>10378</v>
          </cell>
          <cell r="G8">
            <v>39083</v>
          </cell>
          <cell r="H8">
            <v>57469.5</v>
          </cell>
          <cell r="I8">
            <v>3563.3</v>
          </cell>
          <cell r="J8">
            <v>57049</v>
          </cell>
          <cell r="K8">
            <v>398.1</v>
          </cell>
          <cell r="L8">
            <v>15279.1</v>
          </cell>
          <cell r="M8">
            <v>7988.5</v>
          </cell>
          <cell r="N8">
            <v>9881</v>
          </cell>
          <cell r="O8">
            <v>5066</v>
          </cell>
          <cell r="P8">
            <v>8718.6</v>
          </cell>
          <cell r="Q8">
            <v>58191</v>
          </cell>
        </row>
        <row r="9">
          <cell r="B9">
            <v>370736.63</v>
          </cell>
          <cell r="C9">
            <v>10115.6</v>
          </cell>
          <cell r="D9">
            <v>5205</v>
          </cell>
          <cell r="E9">
            <v>81516</v>
          </cell>
          <cell r="F9">
            <v>10426</v>
          </cell>
          <cell r="G9">
            <v>39143</v>
          </cell>
          <cell r="H9">
            <v>57661.2</v>
          </cell>
          <cell r="I9">
            <v>3570.7</v>
          </cell>
          <cell r="J9">
            <v>57120</v>
          </cell>
          <cell r="K9">
            <v>403.8</v>
          </cell>
          <cell r="L9">
            <v>15381.13</v>
          </cell>
          <cell r="M9">
            <v>8027.5</v>
          </cell>
          <cell r="N9">
            <v>9902</v>
          </cell>
          <cell r="O9">
            <v>5089</v>
          </cell>
          <cell r="P9">
            <v>8780.7</v>
          </cell>
          <cell r="Q9">
            <v>58395</v>
          </cell>
        </row>
        <row r="10">
          <cell r="B10">
            <v>371713.3</v>
          </cell>
          <cell r="C10">
            <v>10136.8</v>
          </cell>
          <cell r="D10">
            <v>5228</v>
          </cell>
          <cell r="E10">
            <v>81642</v>
          </cell>
          <cell r="F10">
            <v>10458</v>
          </cell>
          <cell r="G10">
            <v>39210</v>
          </cell>
          <cell r="H10">
            <v>57844</v>
          </cell>
          <cell r="I10">
            <v>3602</v>
          </cell>
          <cell r="J10">
            <v>57204</v>
          </cell>
          <cell r="K10">
            <v>409.5</v>
          </cell>
          <cell r="L10">
            <v>15460</v>
          </cell>
          <cell r="M10">
            <v>8047</v>
          </cell>
          <cell r="N10">
            <v>9927</v>
          </cell>
          <cell r="O10">
            <v>5108</v>
          </cell>
          <cell r="P10">
            <v>8831</v>
          </cell>
          <cell r="Q10">
            <v>58606</v>
          </cell>
        </row>
        <row r="11">
          <cell r="B11">
            <v>372807.64</v>
          </cell>
          <cell r="C11">
            <v>10157</v>
          </cell>
          <cell r="D11">
            <v>5262</v>
          </cell>
          <cell r="E11">
            <v>81912</v>
          </cell>
          <cell r="F11">
            <v>10475</v>
          </cell>
          <cell r="G11">
            <v>39271.7</v>
          </cell>
          <cell r="H11">
            <v>58026</v>
          </cell>
          <cell r="I11">
            <v>3632</v>
          </cell>
          <cell r="J11">
            <v>57380</v>
          </cell>
          <cell r="K11">
            <v>415.55</v>
          </cell>
          <cell r="L11">
            <v>15517</v>
          </cell>
          <cell r="M11">
            <v>8059.39</v>
          </cell>
          <cell r="N11">
            <v>9930</v>
          </cell>
          <cell r="O11">
            <v>5125</v>
          </cell>
          <cell r="P11">
            <v>8843</v>
          </cell>
          <cell r="Q11">
            <v>58802</v>
          </cell>
        </row>
        <row r="12">
          <cell r="B12">
            <v>373801.18</v>
          </cell>
          <cell r="C12">
            <v>10181</v>
          </cell>
          <cell r="D12">
            <v>5284.22</v>
          </cell>
          <cell r="E12">
            <v>82071</v>
          </cell>
          <cell r="F12">
            <v>10497</v>
          </cell>
          <cell r="G12">
            <v>39323</v>
          </cell>
          <cell r="H12">
            <v>58208</v>
          </cell>
          <cell r="I12">
            <v>3670</v>
          </cell>
          <cell r="J12">
            <v>57523</v>
          </cell>
          <cell r="K12">
            <v>421.5</v>
          </cell>
          <cell r="L12">
            <v>15607</v>
          </cell>
          <cell r="M12">
            <v>8072.18</v>
          </cell>
          <cell r="N12">
            <v>9945</v>
          </cell>
          <cell r="O12">
            <v>5139.84</v>
          </cell>
          <cell r="P12">
            <v>8849.44</v>
          </cell>
          <cell r="Q12">
            <v>59009</v>
          </cell>
        </row>
        <row r="13">
          <cell r="B13">
            <v>374565.85</v>
          </cell>
          <cell r="C13">
            <v>10203</v>
          </cell>
          <cell r="D13">
            <v>5301</v>
          </cell>
          <cell r="E13">
            <v>82047</v>
          </cell>
          <cell r="F13">
            <v>10515</v>
          </cell>
          <cell r="G13">
            <v>39371</v>
          </cell>
          <cell r="H13">
            <v>58398</v>
          </cell>
          <cell r="I13">
            <v>3712</v>
          </cell>
          <cell r="J13">
            <v>57588</v>
          </cell>
          <cell r="K13">
            <v>426.6</v>
          </cell>
          <cell r="L13">
            <v>15698</v>
          </cell>
          <cell r="M13">
            <v>8078.45</v>
          </cell>
          <cell r="N13">
            <v>9968</v>
          </cell>
          <cell r="O13">
            <v>5153</v>
          </cell>
          <cell r="P13">
            <v>8851.8</v>
          </cell>
          <cell r="Q13">
            <v>59255</v>
          </cell>
        </row>
        <row r="14">
          <cell r="B14">
            <v>375447.55000000005</v>
          </cell>
          <cell r="C14">
            <v>10226</v>
          </cell>
          <cell r="D14">
            <v>5319</v>
          </cell>
          <cell r="E14">
            <v>82087</v>
          </cell>
          <cell r="F14">
            <v>10538</v>
          </cell>
          <cell r="G14">
            <v>39418</v>
          </cell>
          <cell r="H14">
            <v>58620</v>
          </cell>
          <cell r="I14">
            <v>3752</v>
          </cell>
          <cell r="J14">
            <v>57646</v>
          </cell>
          <cell r="K14">
            <v>432</v>
          </cell>
          <cell r="L14">
            <v>15805</v>
          </cell>
          <cell r="M14">
            <v>8092.25</v>
          </cell>
          <cell r="N14">
            <v>9989</v>
          </cell>
          <cell r="O14">
            <v>5165</v>
          </cell>
          <cell r="P14">
            <v>8857.4</v>
          </cell>
          <cell r="Q14">
            <v>59500.9</v>
          </cell>
        </row>
        <row r="15">
          <cell r="B15">
            <v>376399.54000000004</v>
          </cell>
          <cell r="C15">
            <v>10252</v>
          </cell>
          <cell r="D15">
            <v>5336</v>
          </cell>
          <cell r="E15">
            <v>82150</v>
          </cell>
          <cell r="F15">
            <v>10560</v>
          </cell>
          <cell r="G15">
            <v>39465</v>
          </cell>
          <cell r="H15">
            <v>58892</v>
          </cell>
          <cell r="I15">
            <v>3794</v>
          </cell>
          <cell r="J15">
            <v>57690</v>
          </cell>
          <cell r="K15">
            <v>438.4</v>
          </cell>
          <cell r="L15">
            <v>15919</v>
          </cell>
          <cell r="M15">
            <v>8110.24</v>
          </cell>
          <cell r="N15">
            <v>10008</v>
          </cell>
          <cell r="O15">
            <v>5177</v>
          </cell>
          <cell r="P15">
            <v>8869</v>
          </cell>
          <cell r="Q15">
            <v>59738.9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3.4"/>
      <sheetName val="3.4.1"/>
      <sheetName val="3.4.2"/>
      <sheetName val="3.4.3"/>
      <sheetName val="3.4.4"/>
      <sheetName val="3.4.5"/>
      <sheetName val="3.4.6"/>
      <sheetName val="3.4.7"/>
      <sheetName val="3.4.8"/>
      <sheetName val="3.4.9"/>
      <sheetName val="3.4.10"/>
      <sheetName val="3.4.11"/>
      <sheetName val="3.4.12"/>
      <sheetName val="3.4.13"/>
      <sheetName val="3.4.14"/>
      <sheetName val="3.4.15"/>
      <sheetName val="3.4.16"/>
      <sheetName val="3.4.17"/>
      <sheetName val="3.4.18"/>
      <sheetName val="3.4.19"/>
      <sheetName val="3.4.20"/>
      <sheetName val="3.4.21"/>
      <sheetName val="3.4.22"/>
      <sheetName val="3.4.23"/>
      <sheetName val="3.4.24"/>
      <sheetName val="3.4.25"/>
      <sheetName val="3.4.26"/>
      <sheetName val="3.4.27"/>
      <sheetName val="3.4.28"/>
      <sheetName val="T3.5"/>
      <sheetName val="3.5.1"/>
      <sheetName val="3.5.2"/>
      <sheetName val="3.5.3"/>
      <sheetName val="3.5.4"/>
      <sheetName val="3.5.5"/>
      <sheetName val="3.5.6"/>
      <sheetName val="3.5.7"/>
      <sheetName val="3.5.8"/>
      <sheetName val="3.5.9"/>
      <sheetName val="3.5.10"/>
      <sheetName val="3.5.11"/>
      <sheetName val="3.5.12"/>
      <sheetName val="3.5.13"/>
      <sheetName val="3.5.14"/>
      <sheetName val="3.5.15"/>
      <sheetName val="3.5.16"/>
      <sheetName val="3.5.17"/>
      <sheetName val="3.5.18"/>
      <sheetName val="3.5.19"/>
      <sheetName val="3.5.20"/>
      <sheetName val="3.5.21"/>
      <sheetName val="the end"/>
      <sheetName val="demand passeng"/>
      <sheetName val="demand goods"/>
      <sheetName val="1.3"/>
      <sheetName val="eepop"/>
      <sheetName val="USA_mode"/>
      <sheetName val="tot pkm"/>
      <sheetName val="tot tkm "/>
      <sheetName val="old 3.4.3"/>
      <sheetName val="3.4.4 (2)"/>
    </sheetNames>
    <sheetDataSet>
      <sheetData sheetId="31">
        <row r="26">
          <cell r="G26">
            <v>8.410607475907605</v>
          </cell>
        </row>
        <row r="27">
          <cell r="G27">
            <v>7.829357248820701</v>
          </cell>
        </row>
        <row r="28">
          <cell r="G28">
            <v>6.042410183134028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1">
        <row r="7">
          <cell r="B7">
            <v>6210205.671000001</v>
          </cell>
        </row>
        <row r="8">
          <cell r="B8">
            <v>6288655.752</v>
          </cell>
        </row>
        <row r="9">
          <cell r="B9">
            <v>6262340.131000001</v>
          </cell>
        </row>
        <row r="10">
          <cell r="B10">
            <v>6435503.247000001</v>
          </cell>
        </row>
        <row r="11">
          <cell r="B11">
            <v>6588376.816</v>
          </cell>
        </row>
        <row r="12">
          <cell r="B12">
            <v>6693389.113000001</v>
          </cell>
        </row>
        <row r="13">
          <cell r="B13">
            <v>6860541.863000001</v>
          </cell>
        </row>
        <row r="14">
          <cell r="B14">
            <v>7058778.5430000005</v>
          </cell>
        </row>
        <row r="15">
          <cell r="B15">
            <v>7254212.266000001</v>
          </cell>
        </row>
        <row r="16">
          <cell r="B16">
            <v>7502118.384999999</v>
          </cell>
        </row>
        <row r="17">
          <cell r="B17">
            <v>7614487.073000001</v>
          </cell>
        </row>
      </sheetData>
      <sheetData sheetId="7">
        <row r="6">
          <cell r="B6">
            <v>364558.8</v>
          </cell>
          <cell r="C6">
            <v>9967.4</v>
          </cell>
          <cell r="D6">
            <v>5140</v>
          </cell>
          <cell r="E6">
            <v>79433</v>
          </cell>
          <cell r="F6">
            <v>10161</v>
          </cell>
          <cell r="G6">
            <v>38836</v>
          </cell>
          <cell r="H6">
            <v>56735</v>
          </cell>
          <cell r="I6">
            <v>3505.8</v>
          </cell>
          <cell r="J6">
            <v>56719</v>
          </cell>
          <cell r="K6">
            <v>381.9</v>
          </cell>
          <cell r="L6">
            <v>14952</v>
          </cell>
          <cell r="M6">
            <v>7725.7</v>
          </cell>
          <cell r="N6">
            <v>9896</v>
          </cell>
          <cell r="O6">
            <v>4986</v>
          </cell>
          <cell r="P6">
            <v>8559</v>
          </cell>
          <cell r="Q6">
            <v>57561</v>
          </cell>
          <cell r="S6">
            <v>254.8</v>
          </cell>
          <cell r="U6">
            <v>4241.5</v>
          </cell>
        </row>
        <row r="7">
          <cell r="B7">
            <v>366181.1000000001</v>
          </cell>
          <cell r="C7">
            <v>10004.5</v>
          </cell>
          <cell r="D7">
            <v>5154</v>
          </cell>
          <cell r="E7">
            <v>80014</v>
          </cell>
          <cell r="F7">
            <v>10247</v>
          </cell>
          <cell r="G7">
            <v>38916</v>
          </cell>
          <cell r="H7">
            <v>56977.5</v>
          </cell>
          <cell r="I7">
            <v>3525.7</v>
          </cell>
          <cell r="J7">
            <v>56751</v>
          </cell>
          <cell r="K7">
            <v>387.1</v>
          </cell>
          <cell r="L7">
            <v>15070</v>
          </cell>
          <cell r="M7">
            <v>7825.9</v>
          </cell>
          <cell r="N7">
            <v>9869</v>
          </cell>
          <cell r="O7">
            <v>5014</v>
          </cell>
          <cell r="P7">
            <v>8617.4</v>
          </cell>
          <cell r="Q7">
            <v>57808</v>
          </cell>
          <cell r="S7">
            <v>258</v>
          </cell>
          <cell r="U7">
            <v>4261.7</v>
          </cell>
        </row>
        <row r="8">
          <cell r="B8">
            <v>367882.30000000005</v>
          </cell>
          <cell r="C8">
            <v>10045</v>
          </cell>
          <cell r="D8">
            <v>5170</v>
          </cell>
          <cell r="E8">
            <v>80624</v>
          </cell>
          <cell r="F8">
            <v>10322</v>
          </cell>
          <cell r="G8">
            <v>39006</v>
          </cell>
          <cell r="H8">
            <v>57242.3</v>
          </cell>
          <cell r="I8">
            <v>3549.1</v>
          </cell>
          <cell r="J8">
            <v>56859</v>
          </cell>
          <cell r="K8">
            <v>392.5</v>
          </cell>
          <cell r="L8">
            <v>15178</v>
          </cell>
          <cell r="M8">
            <v>7911.4</v>
          </cell>
          <cell r="N8">
            <v>9867</v>
          </cell>
          <cell r="O8">
            <v>5042</v>
          </cell>
          <cell r="P8">
            <v>8668</v>
          </cell>
          <cell r="Q8">
            <v>58006</v>
          </cell>
          <cell r="S8">
            <v>261.1</v>
          </cell>
          <cell r="U8">
            <v>4286.4</v>
          </cell>
        </row>
        <row r="9">
          <cell r="B9">
            <v>369494.5999999999</v>
          </cell>
          <cell r="C9">
            <v>10084.5</v>
          </cell>
          <cell r="D9">
            <v>5189</v>
          </cell>
          <cell r="E9">
            <v>81156</v>
          </cell>
          <cell r="F9">
            <v>10378</v>
          </cell>
          <cell r="G9">
            <v>39083</v>
          </cell>
          <cell r="H9">
            <v>57469.5</v>
          </cell>
          <cell r="I9">
            <v>3563.3</v>
          </cell>
          <cell r="J9">
            <v>57049</v>
          </cell>
          <cell r="K9">
            <v>398.1</v>
          </cell>
          <cell r="L9">
            <v>15279.1</v>
          </cell>
          <cell r="M9">
            <v>7988.5</v>
          </cell>
          <cell r="N9">
            <v>9881</v>
          </cell>
          <cell r="O9">
            <v>5066</v>
          </cell>
          <cell r="P9">
            <v>8718.6</v>
          </cell>
          <cell r="Q9">
            <v>58191</v>
          </cell>
          <cell r="S9">
            <v>263.8</v>
          </cell>
          <cell r="U9">
            <v>4312</v>
          </cell>
        </row>
        <row r="10">
          <cell r="B10">
            <v>370736.63</v>
          </cell>
          <cell r="C10">
            <v>10115.6</v>
          </cell>
          <cell r="D10">
            <v>5205</v>
          </cell>
          <cell r="E10">
            <v>81516</v>
          </cell>
          <cell r="F10">
            <v>10426</v>
          </cell>
          <cell r="G10">
            <v>39143</v>
          </cell>
          <cell r="H10">
            <v>57661.2</v>
          </cell>
          <cell r="I10">
            <v>3570.7</v>
          </cell>
          <cell r="J10">
            <v>57120</v>
          </cell>
          <cell r="K10">
            <v>403.8</v>
          </cell>
          <cell r="L10">
            <v>15381.13</v>
          </cell>
          <cell r="M10">
            <v>8027.5</v>
          </cell>
          <cell r="N10">
            <v>9902</v>
          </cell>
          <cell r="O10">
            <v>5089</v>
          </cell>
          <cell r="P10">
            <v>8780.7</v>
          </cell>
          <cell r="Q10">
            <v>58395</v>
          </cell>
          <cell r="S10">
            <v>266</v>
          </cell>
          <cell r="U10">
            <v>4336.6</v>
          </cell>
        </row>
        <row r="11">
          <cell r="B11">
            <v>371713.3</v>
          </cell>
          <cell r="C11">
            <v>10136.8</v>
          </cell>
          <cell r="D11">
            <v>5228</v>
          </cell>
          <cell r="E11">
            <v>81642</v>
          </cell>
          <cell r="F11">
            <v>10458</v>
          </cell>
          <cell r="G11">
            <v>39210</v>
          </cell>
          <cell r="H11">
            <v>57844</v>
          </cell>
          <cell r="I11">
            <v>3602</v>
          </cell>
          <cell r="J11">
            <v>57204</v>
          </cell>
          <cell r="K11">
            <v>409.5</v>
          </cell>
          <cell r="L11">
            <v>15460</v>
          </cell>
          <cell r="M11">
            <v>8047</v>
          </cell>
          <cell r="N11">
            <v>9927</v>
          </cell>
          <cell r="O11">
            <v>5108</v>
          </cell>
          <cell r="P11">
            <v>8831</v>
          </cell>
          <cell r="Q11">
            <v>58606</v>
          </cell>
          <cell r="S11">
            <v>268</v>
          </cell>
          <cell r="U11">
            <v>4360</v>
          </cell>
        </row>
        <row r="12">
          <cell r="B12">
            <v>372807.64</v>
          </cell>
          <cell r="C12">
            <v>10157</v>
          </cell>
          <cell r="D12">
            <v>5262</v>
          </cell>
          <cell r="E12">
            <v>81912</v>
          </cell>
          <cell r="F12">
            <v>10475</v>
          </cell>
          <cell r="G12">
            <v>39271.7</v>
          </cell>
          <cell r="H12">
            <v>58026</v>
          </cell>
          <cell r="I12">
            <v>3632</v>
          </cell>
          <cell r="J12">
            <v>57380</v>
          </cell>
          <cell r="K12">
            <v>415.55</v>
          </cell>
          <cell r="L12">
            <v>15517</v>
          </cell>
          <cell r="M12">
            <v>8059.39</v>
          </cell>
          <cell r="N12">
            <v>9930</v>
          </cell>
          <cell r="O12">
            <v>5125</v>
          </cell>
          <cell r="P12">
            <v>8843</v>
          </cell>
          <cell r="Q12">
            <v>58802</v>
          </cell>
          <cell r="S12">
            <v>270</v>
          </cell>
          <cell r="U12">
            <v>4381</v>
          </cell>
        </row>
        <row r="13">
          <cell r="B13">
            <v>373801.18</v>
          </cell>
          <cell r="C13">
            <v>10181</v>
          </cell>
          <cell r="D13">
            <v>5284.22</v>
          </cell>
          <cell r="E13">
            <v>82071</v>
          </cell>
          <cell r="F13">
            <v>10497</v>
          </cell>
          <cell r="G13">
            <v>39323</v>
          </cell>
          <cell r="H13">
            <v>58208</v>
          </cell>
          <cell r="I13">
            <v>3670</v>
          </cell>
          <cell r="J13">
            <v>57523</v>
          </cell>
          <cell r="K13">
            <v>421.5</v>
          </cell>
          <cell r="L13">
            <v>15607</v>
          </cell>
          <cell r="M13">
            <v>8072.18</v>
          </cell>
          <cell r="N13">
            <v>9945</v>
          </cell>
          <cell r="O13">
            <v>5139.84</v>
          </cell>
          <cell r="P13">
            <v>8849.44</v>
          </cell>
          <cell r="Q13">
            <v>59009</v>
          </cell>
          <cell r="S13">
            <v>272</v>
          </cell>
          <cell r="U13">
            <v>4404.1</v>
          </cell>
        </row>
        <row r="14">
          <cell r="B14">
            <v>374565.85</v>
          </cell>
          <cell r="C14">
            <v>10203</v>
          </cell>
          <cell r="D14">
            <v>5301</v>
          </cell>
          <cell r="E14">
            <v>82047</v>
          </cell>
          <cell r="F14">
            <v>10515</v>
          </cell>
          <cell r="G14">
            <v>39371</v>
          </cell>
          <cell r="H14">
            <v>58398</v>
          </cell>
          <cell r="I14">
            <v>3712</v>
          </cell>
          <cell r="J14">
            <v>57588</v>
          </cell>
          <cell r="K14">
            <v>426.6</v>
          </cell>
          <cell r="L14">
            <v>15698</v>
          </cell>
          <cell r="M14">
            <v>8078.45</v>
          </cell>
          <cell r="N14">
            <v>9968</v>
          </cell>
          <cell r="O14">
            <v>5153</v>
          </cell>
          <cell r="P14">
            <v>8851.8</v>
          </cell>
          <cell r="Q14">
            <v>59255</v>
          </cell>
          <cell r="S14">
            <v>274</v>
          </cell>
          <cell r="U14">
            <v>4432</v>
          </cell>
        </row>
        <row r="15">
          <cell r="B15">
            <v>375447.55000000005</v>
          </cell>
          <cell r="C15">
            <v>10226</v>
          </cell>
          <cell r="D15">
            <v>5319</v>
          </cell>
          <cell r="E15">
            <v>82087</v>
          </cell>
          <cell r="F15">
            <v>10538</v>
          </cell>
          <cell r="G15">
            <v>39418</v>
          </cell>
          <cell r="H15">
            <v>58620</v>
          </cell>
          <cell r="I15">
            <v>3752</v>
          </cell>
          <cell r="J15">
            <v>57646</v>
          </cell>
          <cell r="K15">
            <v>432</v>
          </cell>
          <cell r="L15">
            <v>15805</v>
          </cell>
          <cell r="M15">
            <v>8092.25</v>
          </cell>
          <cell r="N15">
            <v>9989</v>
          </cell>
          <cell r="O15">
            <v>5165</v>
          </cell>
          <cell r="P15">
            <v>8857.4</v>
          </cell>
          <cell r="Q15">
            <v>59500.9</v>
          </cell>
          <cell r="S15">
            <v>277.5</v>
          </cell>
          <cell r="U15">
            <v>4460</v>
          </cell>
        </row>
        <row r="16">
          <cell r="B16">
            <v>376399.54000000004</v>
          </cell>
          <cell r="C16">
            <v>10252</v>
          </cell>
          <cell r="D16">
            <v>5336</v>
          </cell>
          <cell r="E16">
            <v>82150</v>
          </cell>
          <cell r="F16">
            <v>10560</v>
          </cell>
          <cell r="G16">
            <v>39465</v>
          </cell>
          <cell r="H16">
            <v>58892</v>
          </cell>
          <cell r="I16">
            <v>3794</v>
          </cell>
          <cell r="J16">
            <v>57690</v>
          </cell>
          <cell r="K16">
            <v>438.4</v>
          </cell>
          <cell r="L16">
            <v>15919</v>
          </cell>
          <cell r="M16">
            <v>8110.24</v>
          </cell>
          <cell r="N16">
            <v>10008</v>
          </cell>
          <cell r="O16">
            <v>5177</v>
          </cell>
          <cell r="P16">
            <v>8869</v>
          </cell>
          <cell r="Q16">
            <v>59738.9</v>
          </cell>
          <cell r="S16">
            <v>281</v>
          </cell>
          <cell r="U16">
            <v>4491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1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6" customWidth="1"/>
    <col min="2" max="2" width="48.28125" style="6" customWidth="1"/>
    <col min="3" max="3" width="59.00390625" style="6" customWidth="1"/>
    <col min="4" max="4" width="25.8515625" style="6" bestFit="1" customWidth="1"/>
    <col min="5" max="16384" width="9.140625" style="6" customWidth="1"/>
  </cols>
  <sheetData>
    <row r="1" ht="11.25">
      <c r="A1" s="2" t="s">
        <v>153</v>
      </c>
    </row>
    <row r="2" ht="11.25">
      <c r="A2" s="2"/>
    </row>
    <row r="3" spans="1:2" ht="11.25">
      <c r="A3" s="84" t="s">
        <v>99</v>
      </c>
      <c r="B3" s="6" t="s">
        <v>232</v>
      </c>
    </row>
    <row r="4" ht="11.25">
      <c r="B4" s="6" t="s">
        <v>233</v>
      </c>
    </row>
    <row r="6" spans="1:2" ht="11.25">
      <c r="A6" s="6" t="s">
        <v>100</v>
      </c>
      <c r="B6" s="6" t="s">
        <v>231</v>
      </c>
    </row>
    <row r="8" spans="1:2" ht="11.25">
      <c r="A8" s="6" t="s">
        <v>101</v>
      </c>
      <c r="B8" s="6" t="s">
        <v>230</v>
      </c>
    </row>
    <row r="9" ht="11.25">
      <c r="B9" s="6" t="s">
        <v>365</v>
      </c>
    </row>
    <row r="10" spans="1:3" ht="11.25">
      <c r="A10" s="126"/>
      <c r="B10" s="109"/>
      <c r="C10" s="127"/>
    </row>
    <row r="11" spans="1:3" ht="11.25">
      <c r="A11" s="109"/>
      <c r="B11" s="109"/>
      <c r="C11" s="127"/>
    </row>
    <row r="12" spans="1:3" ht="11.25">
      <c r="A12" s="109"/>
      <c r="B12" s="109"/>
      <c r="C12" s="127"/>
    </row>
    <row r="13" spans="1:3" ht="11.25">
      <c r="A13" s="109"/>
      <c r="B13" s="109"/>
      <c r="C13" s="109"/>
    </row>
    <row r="14" spans="1:3" ht="11.25">
      <c r="A14" s="109"/>
      <c r="B14" s="109"/>
      <c r="C14" s="109"/>
    </row>
    <row r="15" spans="1:3" ht="11.25">
      <c r="A15" s="109"/>
      <c r="B15" s="109"/>
      <c r="C15" s="109"/>
    </row>
    <row r="16" spans="1:3" ht="11.25">
      <c r="A16" s="109"/>
      <c r="B16" s="109"/>
      <c r="C16" s="109"/>
    </row>
    <row r="17" spans="1:3" ht="11.25">
      <c r="A17" s="109"/>
      <c r="B17" s="109"/>
      <c r="C17" s="109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outlinePr summaryBelow="0"/>
  </sheetPr>
  <dimension ref="A1:V50"/>
  <sheetViews>
    <sheetView workbookViewId="0" topLeftCell="A1">
      <selection activeCell="B30" sqref="B30"/>
    </sheetView>
  </sheetViews>
  <sheetFormatPr defaultColWidth="9.140625" defaultRowHeight="12.75" outlineLevelRow="1"/>
  <cols>
    <col min="1" max="1" width="13.7109375" style="30" customWidth="1"/>
    <col min="2" max="4" width="10.7109375" style="30" customWidth="1"/>
    <col min="5" max="5" width="0.13671875" style="30" customWidth="1"/>
    <col min="6" max="8" width="10.7109375" style="30" customWidth="1"/>
    <col min="9" max="9" width="10.140625" style="30" customWidth="1"/>
    <col min="10" max="10" width="3.57421875" style="30" customWidth="1"/>
    <col min="11" max="11" width="8.8515625" style="30" customWidth="1"/>
    <col min="12" max="14" width="11.00390625" style="30" customWidth="1"/>
    <col min="15" max="15" width="2.7109375" style="30" customWidth="1"/>
    <col min="16" max="16" width="15.421875" style="30" customWidth="1"/>
    <col min="17" max="17" width="20.57421875" style="30" customWidth="1"/>
    <col min="18" max="18" width="13.8515625" style="30" customWidth="1"/>
    <col min="19" max="19" width="9.28125" style="30" customWidth="1"/>
    <col min="20" max="20" width="10.7109375" style="30" customWidth="1"/>
    <col min="21" max="21" width="8.28125" style="30" customWidth="1"/>
    <col min="22" max="22" width="17.140625" style="30" customWidth="1"/>
    <col min="23" max="23" width="9.140625" style="30" customWidth="1"/>
    <col min="24" max="24" width="11.00390625" style="30" customWidth="1"/>
    <col min="25" max="25" width="14.00390625" style="30" customWidth="1"/>
    <col min="26" max="26" width="10.28125" style="30" customWidth="1"/>
    <col min="27" max="27" width="12.140625" style="30" customWidth="1"/>
    <col min="28" max="16384" width="9.140625" style="30" customWidth="1"/>
  </cols>
  <sheetData>
    <row r="1" spans="1:3" ht="11.25">
      <c r="A1" s="52" t="s">
        <v>152</v>
      </c>
      <c r="B1" s="52"/>
      <c r="C1" s="52"/>
    </row>
    <row r="2" spans="1:3" ht="11.25">
      <c r="A2" s="29" t="s">
        <v>3</v>
      </c>
      <c r="B2" s="52"/>
      <c r="C2" s="52"/>
    </row>
    <row r="3" spans="1:3" ht="11.25">
      <c r="A3" s="29"/>
      <c r="B3" s="52"/>
      <c r="C3" s="52"/>
    </row>
    <row r="4" spans="1:22" ht="12.75" customHeight="1">
      <c r="A4" s="46"/>
      <c r="B4" s="373" t="s">
        <v>125</v>
      </c>
      <c r="C4" s="373"/>
      <c r="D4" s="373"/>
      <c r="E4" s="373"/>
      <c r="F4" s="373"/>
      <c r="G4" s="373"/>
      <c r="H4" s="373"/>
      <c r="I4" s="274"/>
      <c r="J4" s="108"/>
      <c r="K4" s="230"/>
      <c r="L4" s="230"/>
      <c r="M4" s="230" t="s">
        <v>221</v>
      </c>
      <c r="N4" s="230"/>
      <c r="O4" s="108"/>
      <c r="P4" s="230"/>
      <c r="Q4" s="373"/>
      <c r="R4" s="373"/>
      <c r="S4" s="373"/>
      <c r="T4" s="373"/>
      <c r="U4" s="274"/>
      <c r="V4" s="274"/>
    </row>
    <row r="5" spans="1:22" ht="33.75" collapsed="1">
      <c r="A5" s="45"/>
      <c r="B5" s="45" t="s">
        <v>214</v>
      </c>
      <c r="C5" s="45" t="s">
        <v>48</v>
      </c>
      <c r="D5" s="45" t="s">
        <v>144</v>
      </c>
      <c r="F5" s="45" t="s">
        <v>0</v>
      </c>
      <c r="G5" s="45" t="s">
        <v>140</v>
      </c>
      <c r="H5" s="45" t="s">
        <v>141</v>
      </c>
      <c r="I5" s="45" t="s">
        <v>145</v>
      </c>
      <c r="J5" s="45"/>
      <c r="K5" s="45" t="s">
        <v>143</v>
      </c>
      <c r="L5" s="55" t="s">
        <v>52</v>
      </c>
      <c r="M5" s="55" t="s">
        <v>2</v>
      </c>
      <c r="N5" s="55" t="s">
        <v>1</v>
      </c>
      <c r="O5" s="55"/>
      <c r="P5" s="55" t="s">
        <v>228</v>
      </c>
      <c r="Q5" s="55" t="s">
        <v>149</v>
      </c>
      <c r="R5" s="55" t="s">
        <v>150</v>
      </c>
      <c r="S5" s="55" t="s">
        <v>63</v>
      </c>
      <c r="T5" s="45" t="s">
        <v>142</v>
      </c>
      <c r="U5" s="45" t="s">
        <v>157</v>
      </c>
      <c r="V5" s="294" t="s">
        <v>234</v>
      </c>
    </row>
    <row r="6" spans="1:21" ht="11.25" hidden="1" outlineLevel="1" collapsed="1">
      <c r="A6" s="25">
        <v>1980</v>
      </c>
      <c r="B6" s="39" t="e">
        <f aca="true" t="shared" si="0" ref="B6:B16">C6+D6+K7+F6+G6+H6</f>
        <v>#REF!</v>
      </c>
      <c r="C6" s="39" t="e">
        <f>+manip_pt_pc!#REF!</f>
        <v>#REF!</v>
      </c>
      <c r="D6" s="39" t="e">
        <f>+'manip_pt_b+c'!#REF!</f>
        <v>#REF!</v>
      </c>
      <c r="F6" s="39" t="e">
        <f>+manip_pt_rail!#REF!</f>
        <v>#REF!</v>
      </c>
      <c r="G6" s="39" t="e">
        <f>+manip_pt_air_dom!#REF!</f>
        <v>#REF!</v>
      </c>
      <c r="H6" s="39" t="e">
        <f>manip_pt_air_intra!#REF!</f>
        <v>#REF!</v>
      </c>
      <c r="I6" s="39" t="e">
        <f>+manip_pt_air_extra!#REF!</f>
        <v>#REF!</v>
      </c>
      <c r="J6" s="39"/>
      <c r="K6" s="45" t="s">
        <v>143</v>
      </c>
      <c r="L6" s="39" t="e">
        <f>+manip_pt_mbike!#REF!</f>
        <v>#REF!</v>
      </c>
      <c r="M6" s="39">
        <f>+manip_cycling!B6</f>
        <v>70.60999999999999</v>
      </c>
      <c r="N6" s="39" t="e">
        <f>+manip_walking!#REF!</f>
        <v>#REF!</v>
      </c>
      <c r="O6" s="39"/>
      <c r="P6" s="39"/>
      <c r="Q6" s="13" t="e">
        <f>+B6+L6+#REF!</f>
        <v>#REF!</v>
      </c>
      <c r="R6" s="13" t="e">
        <f aca="true" t="shared" si="1" ref="R6:R27">+C6+L6</f>
        <v>#REF!</v>
      </c>
      <c r="S6" s="13" t="e">
        <f aca="true" t="shared" si="2" ref="S6:S27">+K7+F6</f>
        <v>#REF!</v>
      </c>
      <c r="T6" s="39" t="e">
        <f aca="true" t="shared" si="3" ref="T6:T27">+G6+H6</f>
        <v>#REF!</v>
      </c>
      <c r="U6" s="39" t="e">
        <f>+H6+#REF!</f>
        <v>#REF!</v>
      </c>
    </row>
    <row r="7" spans="1:21" ht="11.25" hidden="1" outlineLevel="1">
      <c r="A7" s="25">
        <v>1981</v>
      </c>
      <c r="B7" s="39" t="e">
        <f t="shared" si="0"/>
        <v>#REF!</v>
      </c>
      <c r="C7" s="39" t="e">
        <f>+manip_pt_pc!#REF!</f>
        <v>#REF!</v>
      </c>
      <c r="D7" s="39" t="e">
        <f>+'manip_pt_b+c'!#REF!</f>
        <v>#REF!</v>
      </c>
      <c r="F7" s="39" t="e">
        <f>+manip_pt_rail!#REF!</f>
        <v>#REF!</v>
      </c>
      <c r="G7" s="39" t="e">
        <f>+manip_pt_air_dom!#REF!</f>
        <v>#REF!</v>
      </c>
      <c r="H7" s="39" t="e">
        <f>manip_pt_air_intra!#REF!</f>
        <v>#REF!</v>
      </c>
      <c r="I7" s="39" t="e">
        <f>+manip_pt_air_extra!#REF!</f>
        <v>#REF!</v>
      </c>
      <c r="J7" s="39"/>
      <c r="K7" s="39" t="e">
        <f>+'manip_pt_t+m'!#REF!</f>
        <v>#REF!</v>
      </c>
      <c r="L7" s="39" t="e">
        <f>+manip_pt_mbike!#REF!</f>
        <v>#REF!</v>
      </c>
      <c r="M7" s="39">
        <f>+manip_cycling!B7</f>
        <v>69.80999999999999</v>
      </c>
      <c r="N7" s="39" t="e">
        <f>+manip_walking!#REF!</f>
        <v>#REF!</v>
      </c>
      <c r="O7" s="39"/>
      <c r="P7" s="39"/>
      <c r="Q7" s="13" t="e">
        <f>+B7+L7+#REF!</f>
        <v>#REF!</v>
      </c>
      <c r="R7" s="13" t="e">
        <f t="shared" si="1"/>
        <v>#REF!</v>
      </c>
      <c r="S7" s="13" t="e">
        <f t="shared" si="2"/>
        <v>#REF!</v>
      </c>
      <c r="T7" s="39" t="e">
        <f t="shared" si="3"/>
        <v>#REF!</v>
      </c>
      <c r="U7" s="39" t="e">
        <f>+H7+#REF!</f>
        <v>#REF!</v>
      </c>
    </row>
    <row r="8" spans="1:21" ht="11.25" hidden="1" outlineLevel="1">
      <c r="A8" s="25">
        <v>1982</v>
      </c>
      <c r="B8" s="39" t="e">
        <f t="shared" si="0"/>
        <v>#REF!</v>
      </c>
      <c r="C8" s="39" t="e">
        <f>+manip_pt_pc!#REF!</f>
        <v>#REF!</v>
      </c>
      <c r="D8" s="39" t="e">
        <f>+'manip_pt_b+c'!#REF!</f>
        <v>#REF!</v>
      </c>
      <c r="F8" s="39" t="e">
        <f>+manip_pt_rail!#REF!</f>
        <v>#REF!</v>
      </c>
      <c r="G8" s="39" t="e">
        <f>+manip_pt_air_dom!#REF!</f>
        <v>#REF!</v>
      </c>
      <c r="H8" s="39" t="e">
        <f>manip_pt_air_intra!#REF!</f>
        <v>#REF!</v>
      </c>
      <c r="I8" s="39" t="e">
        <f>+manip_pt_air_extra!#REF!</f>
        <v>#REF!</v>
      </c>
      <c r="J8" s="39"/>
      <c r="K8" s="39" t="e">
        <f>+'manip_pt_t+m'!#REF!</f>
        <v>#REF!</v>
      </c>
      <c r="L8" s="39" t="e">
        <f>+manip_pt_mbike!#REF!</f>
        <v>#REF!</v>
      </c>
      <c r="M8" s="39">
        <f>+manip_cycling!B8</f>
        <v>69.50999999999999</v>
      </c>
      <c r="N8" s="39" t="e">
        <f>+manip_walking!#REF!</f>
        <v>#REF!</v>
      </c>
      <c r="O8" s="39"/>
      <c r="P8" s="39"/>
      <c r="Q8" s="13" t="e">
        <f>+B8+L8+#REF!</f>
        <v>#REF!</v>
      </c>
      <c r="R8" s="13" t="e">
        <f t="shared" si="1"/>
        <v>#REF!</v>
      </c>
      <c r="S8" s="13" t="e">
        <f t="shared" si="2"/>
        <v>#REF!</v>
      </c>
      <c r="T8" s="39" t="e">
        <f t="shared" si="3"/>
        <v>#REF!</v>
      </c>
      <c r="U8" s="39" t="e">
        <f>+H8+#REF!</f>
        <v>#REF!</v>
      </c>
    </row>
    <row r="9" spans="1:21" ht="11.25" hidden="1" outlineLevel="1">
      <c r="A9" s="25">
        <v>1983</v>
      </c>
      <c r="B9" s="39" t="e">
        <f t="shared" si="0"/>
        <v>#REF!</v>
      </c>
      <c r="C9" s="39" t="e">
        <f>+manip_pt_pc!#REF!</f>
        <v>#REF!</v>
      </c>
      <c r="D9" s="39" t="e">
        <f>+'manip_pt_b+c'!#REF!</f>
        <v>#REF!</v>
      </c>
      <c r="F9" s="39" t="e">
        <f>+manip_pt_rail!#REF!</f>
        <v>#REF!</v>
      </c>
      <c r="G9" s="39" t="e">
        <f>+manip_pt_air_dom!#REF!</f>
        <v>#REF!</v>
      </c>
      <c r="H9" s="39" t="e">
        <f>manip_pt_air_intra!#REF!</f>
        <v>#REF!</v>
      </c>
      <c r="I9" s="39" t="e">
        <f>+manip_pt_air_extra!#REF!</f>
        <v>#REF!</v>
      </c>
      <c r="J9" s="39"/>
      <c r="K9" s="39" t="e">
        <f>+'manip_pt_t+m'!#REF!</f>
        <v>#REF!</v>
      </c>
      <c r="L9" s="39">
        <f>+manip_pt_mbike!B8</f>
        <v>127.32000000000001</v>
      </c>
      <c r="M9" s="39">
        <f>+manip_cycling!B9</f>
        <v>70.81</v>
      </c>
      <c r="N9" s="39" t="e">
        <f>+manip_walking!#REF!</f>
        <v>#REF!</v>
      </c>
      <c r="O9" s="39"/>
      <c r="P9" s="39"/>
      <c r="Q9" s="13" t="e">
        <f>+B9+L9+#REF!</f>
        <v>#REF!</v>
      </c>
      <c r="R9" s="13" t="e">
        <f t="shared" si="1"/>
        <v>#REF!</v>
      </c>
      <c r="S9" s="13" t="e">
        <f t="shared" si="2"/>
        <v>#REF!</v>
      </c>
      <c r="T9" s="39" t="e">
        <f t="shared" si="3"/>
        <v>#REF!</v>
      </c>
      <c r="U9" s="39" t="e">
        <f>+H9+#REF!</f>
        <v>#REF!</v>
      </c>
    </row>
    <row r="10" spans="1:21" ht="11.25" hidden="1" outlineLevel="1">
      <c r="A10" s="25">
        <v>1984</v>
      </c>
      <c r="B10" s="39" t="e">
        <f t="shared" si="0"/>
        <v>#REF!</v>
      </c>
      <c r="C10" s="39" t="e">
        <f>+manip_pt_pc!#REF!</f>
        <v>#REF!</v>
      </c>
      <c r="D10" s="39" t="e">
        <f>+'manip_pt_b+c'!#REF!</f>
        <v>#REF!</v>
      </c>
      <c r="F10" s="39" t="e">
        <f>+manip_pt_rail!#REF!</f>
        <v>#REF!</v>
      </c>
      <c r="G10" s="39" t="e">
        <f>+manip_pt_air_dom!#REF!</f>
        <v>#REF!</v>
      </c>
      <c r="H10" s="39" t="e">
        <f>manip_pt_air_intra!#REF!</f>
        <v>#REF!</v>
      </c>
      <c r="I10" s="39" t="e">
        <f>+manip_pt_air_extra!#REF!</f>
        <v>#REF!</v>
      </c>
      <c r="J10" s="39"/>
      <c r="K10" s="39" t="e">
        <f>+'manip_pt_t+m'!#REF!</f>
        <v>#REF!</v>
      </c>
      <c r="L10" s="39">
        <f>+manip_pt_mbike!B9</f>
        <v>128.84199999999998</v>
      </c>
      <c r="M10" s="39">
        <f>+manip_cycling!B10</f>
        <v>69.20999999999998</v>
      </c>
      <c r="N10" s="39" t="e">
        <f>+manip_walking!#REF!</f>
        <v>#REF!</v>
      </c>
      <c r="O10" s="39"/>
      <c r="P10" s="39"/>
      <c r="Q10" s="13" t="e">
        <f>+B10+L10+#REF!</f>
        <v>#REF!</v>
      </c>
      <c r="R10" s="13" t="e">
        <f t="shared" si="1"/>
        <v>#REF!</v>
      </c>
      <c r="S10" s="13" t="e">
        <f t="shared" si="2"/>
        <v>#REF!</v>
      </c>
      <c r="T10" s="39" t="e">
        <f t="shared" si="3"/>
        <v>#REF!</v>
      </c>
      <c r="U10" s="39" t="e">
        <f>+H10+#REF!</f>
        <v>#REF!</v>
      </c>
    </row>
    <row r="11" spans="1:21" ht="11.25" hidden="1" outlineLevel="1" collapsed="1">
      <c r="A11" s="25">
        <v>1985</v>
      </c>
      <c r="B11" s="39" t="e">
        <f t="shared" si="0"/>
        <v>#REF!</v>
      </c>
      <c r="C11" s="39" t="e">
        <f>+manip_pt_pc!#REF!</f>
        <v>#REF!</v>
      </c>
      <c r="D11" s="39" t="e">
        <f>+'manip_pt_b+c'!#REF!</f>
        <v>#REF!</v>
      </c>
      <c r="F11" s="39" t="e">
        <f>+manip_pt_rail!#REF!</f>
        <v>#REF!</v>
      </c>
      <c r="G11" s="39" t="e">
        <f>+manip_pt_air_dom!#REF!</f>
        <v>#REF!</v>
      </c>
      <c r="H11" s="39" t="e">
        <f>manip_pt_air_intra!#REF!</f>
        <v>#REF!</v>
      </c>
      <c r="I11" s="39" t="e">
        <f>+manip_pt_air_extra!#REF!</f>
        <v>#REF!</v>
      </c>
      <c r="J11" s="39"/>
      <c r="K11" s="39" t="e">
        <f>+'manip_pt_t+m'!#REF!</f>
        <v>#REF!</v>
      </c>
      <c r="L11" s="39">
        <f>+manip_pt_mbike!B10</f>
        <v>132.333</v>
      </c>
      <c r="M11" s="39">
        <f>+manip_cycling!B11</f>
        <v>70.71</v>
      </c>
      <c r="N11" s="39" t="e">
        <f>+manip_walking!#REF!</f>
        <v>#REF!</v>
      </c>
      <c r="O11" s="39"/>
      <c r="P11" s="39"/>
      <c r="Q11" s="13" t="e">
        <f>+B11+L11+#REF!</f>
        <v>#REF!</v>
      </c>
      <c r="R11" s="13" t="e">
        <f t="shared" si="1"/>
        <v>#REF!</v>
      </c>
      <c r="S11" s="13" t="e">
        <f t="shared" si="2"/>
        <v>#REF!</v>
      </c>
      <c r="T11" s="39" t="e">
        <f t="shared" si="3"/>
        <v>#REF!</v>
      </c>
      <c r="U11" s="39" t="e">
        <f>+H11+#REF!</f>
        <v>#REF!</v>
      </c>
    </row>
    <row r="12" spans="1:21" ht="11.25" hidden="1" outlineLevel="1">
      <c r="A12" s="25">
        <v>1986</v>
      </c>
      <c r="B12" s="39" t="e">
        <f t="shared" si="0"/>
        <v>#REF!</v>
      </c>
      <c r="C12" s="39" t="e">
        <f>+manip_pt_pc!#REF!</f>
        <v>#REF!</v>
      </c>
      <c r="D12" s="39" t="e">
        <f>+'manip_pt_b+c'!#REF!</f>
        <v>#REF!</v>
      </c>
      <c r="F12" s="39" t="e">
        <f>+manip_pt_rail!#REF!</f>
        <v>#REF!</v>
      </c>
      <c r="G12" s="39" t="e">
        <f>+manip_pt_air_dom!#REF!</f>
        <v>#REF!</v>
      </c>
      <c r="H12" s="39" t="e">
        <f>manip_pt_air_intra!#REF!</f>
        <v>#REF!</v>
      </c>
      <c r="I12" s="39" t="e">
        <f>+manip_pt_air_extra!#REF!</f>
        <v>#REF!</v>
      </c>
      <c r="J12" s="39"/>
      <c r="K12" s="39" t="e">
        <f>+'manip_pt_t+m'!#REF!</f>
        <v>#REF!</v>
      </c>
      <c r="L12" s="39">
        <f>+manip_pt_mbike!B11</f>
        <v>136.343</v>
      </c>
      <c r="M12" s="39">
        <f>+manip_cycling!B12</f>
        <v>70.41</v>
      </c>
      <c r="N12" s="39" t="e">
        <f>+manip_walking!#REF!</f>
        <v>#REF!</v>
      </c>
      <c r="O12" s="39"/>
      <c r="P12" s="39"/>
      <c r="Q12" s="13" t="e">
        <f>+B12+L12+#REF!</f>
        <v>#REF!</v>
      </c>
      <c r="R12" s="13" t="e">
        <f t="shared" si="1"/>
        <v>#REF!</v>
      </c>
      <c r="S12" s="13" t="e">
        <f t="shared" si="2"/>
        <v>#REF!</v>
      </c>
      <c r="T12" s="39" t="e">
        <f t="shared" si="3"/>
        <v>#REF!</v>
      </c>
      <c r="U12" s="39" t="e">
        <f>+H12+#REF!</f>
        <v>#REF!</v>
      </c>
    </row>
    <row r="13" spans="1:21" ht="11.25" hidden="1" outlineLevel="1">
      <c r="A13" s="25">
        <v>1987</v>
      </c>
      <c r="B13" s="39" t="e">
        <f t="shared" si="0"/>
        <v>#REF!</v>
      </c>
      <c r="C13" s="39" t="e">
        <f>+manip_pt_pc!#REF!</f>
        <v>#REF!</v>
      </c>
      <c r="D13" s="39" t="e">
        <f>+'manip_pt_b+c'!#REF!</f>
        <v>#REF!</v>
      </c>
      <c r="F13" s="39" t="e">
        <f>+manip_pt_rail!#REF!</f>
        <v>#REF!</v>
      </c>
      <c r="G13" s="39" t="e">
        <f>+manip_pt_air_dom!#REF!</f>
        <v>#REF!</v>
      </c>
      <c r="H13" s="39" t="e">
        <f>manip_pt_air_intra!#REF!</f>
        <v>#REF!</v>
      </c>
      <c r="I13" s="39" t="e">
        <f>+manip_pt_air_extra!#REF!</f>
        <v>#REF!</v>
      </c>
      <c r="J13" s="39"/>
      <c r="K13" s="39" t="e">
        <f>+'manip_pt_t+m'!#REF!</f>
        <v>#REF!</v>
      </c>
      <c r="L13" s="39">
        <f>+manip_pt_mbike!B12</f>
        <v>141.716</v>
      </c>
      <c r="M13" s="39">
        <f>+manip_cycling!B13</f>
        <v>70.71</v>
      </c>
      <c r="N13" s="39" t="e">
        <f>+manip_walking!#REF!</f>
        <v>#REF!</v>
      </c>
      <c r="O13" s="39"/>
      <c r="P13" s="39"/>
      <c r="Q13" s="13" t="e">
        <f>+B13+L13+#REF!</f>
        <v>#REF!</v>
      </c>
      <c r="R13" s="13" t="e">
        <f t="shared" si="1"/>
        <v>#REF!</v>
      </c>
      <c r="S13" s="13" t="e">
        <f t="shared" si="2"/>
        <v>#REF!</v>
      </c>
      <c r="T13" s="39" t="e">
        <f t="shared" si="3"/>
        <v>#REF!</v>
      </c>
      <c r="U13" s="39" t="e">
        <f>+H13+#REF!</f>
        <v>#REF!</v>
      </c>
    </row>
    <row r="14" spans="1:21" ht="11.25" hidden="1" outlineLevel="1">
      <c r="A14" s="25">
        <v>1988</v>
      </c>
      <c r="B14" s="39" t="e">
        <f t="shared" si="0"/>
        <v>#REF!</v>
      </c>
      <c r="C14" s="39" t="e">
        <f>+manip_pt_pc!#REF!</f>
        <v>#REF!</v>
      </c>
      <c r="D14" s="39" t="e">
        <f>+'manip_pt_b+c'!#REF!</f>
        <v>#REF!</v>
      </c>
      <c r="F14" s="39" t="e">
        <f>+manip_pt_rail!#REF!</f>
        <v>#REF!</v>
      </c>
      <c r="G14" s="39" t="e">
        <f>+manip_pt_air_dom!#REF!</f>
        <v>#REF!</v>
      </c>
      <c r="H14" s="39" t="e">
        <f>manip_pt_air_intra!#REF!</f>
        <v>#REF!</v>
      </c>
      <c r="I14" s="39" t="e">
        <f>+manip_pt_air_extra!#REF!</f>
        <v>#REF!</v>
      </c>
      <c r="J14" s="39"/>
      <c r="K14" s="39" t="e">
        <f>+'manip_pt_t+m'!#REF!</f>
        <v>#REF!</v>
      </c>
      <c r="L14" s="39">
        <f>+manip_pt_mbike!B13</f>
        <v>147.596</v>
      </c>
      <c r="M14" s="39">
        <f>+manip_cycling!B14</f>
        <v>70.91</v>
      </c>
      <c r="N14" s="39" t="e">
        <f>+manip_walking!#REF!</f>
        <v>#REF!</v>
      </c>
      <c r="O14" s="39"/>
      <c r="P14" s="39"/>
      <c r="Q14" s="13" t="e">
        <f>+B14+L14+#REF!</f>
        <v>#REF!</v>
      </c>
      <c r="R14" s="13" t="e">
        <f t="shared" si="1"/>
        <v>#REF!</v>
      </c>
      <c r="S14" s="13" t="e">
        <f t="shared" si="2"/>
        <v>#REF!</v>
      </c>
      <c r="T14" s="39" t="e">
        <f t="shared" si="3"/>
        <v>#REF!</v>
      </c>
      <c r="U14" s="39" t="e">
        <f>+H14+#REF!</f>
        <v>#REF!</v>
      </c>
    </row>
    <row r="15" spans="1:21" ht="11.25" hidden="1" outlineLevel="1">
      <c r="A15" s="25">
        <v>1989</v>
      </c>
      <c r="B15" s="39" t="e">
        <f t="shared" si="0"/>
        <v>#REF!</v>
      </c>
      <c r="C15" s="39" t="e">
        <f>+manip_pt_pc!#REF!</f>
        <v>#REF!</v>
      </c>
      <c r="D15" s="39" t="e">
        <f>+'manip_pt_b+c'!#REF!</f>
        <v>#REF!</v>
      </c>
      <c r="F15" s="39" t="e">
        <f>+manip_pt_rail!#REF!</f>
        <v>#REF!</v>
      </c>
      <c r="G15" s="39" t="e">
        <f>+manip_pt_air_dom!#REF!</f>
        <v>#REF!</v>
      </c>
      <c r="H15" s="39" t="e">
        <f>manip_pt_air_intra!#REF!</f>
        <v>#REF!</v>
      </c>
      <c r="I15" s="39" t="e">
        <f>+manip_pt_air_extra!#REF!</f>
        <v>#REF!</v>
      </c>
      <c r="J15" s="39"/>
      <c r="K15" s="39" t="e">
        <f>+'manip_pt_t+m'!#REF!</f>
        <v>#REF!</v>
      </c>
      <c r="L15" s="39">
        <f>+manip_pt_mbike!B14</f>
        <v>150.16100000000003</v>
      </c>
      <c r="M15" s="39">
        <f>+manip_cycling!B15</f>
        <v>0</v>
      </c>
      <c r="N15" s="39" t="e">
        <f>+manip_walking!#REF!</f>
        <v>#REF!</v>
      </c>
      <c r="O15" s="39"/>
      <c r="P15" s="39"/>
      <c r="Q15" s="13" t="e">
        <f>+B15+L15+#REF!</f>
        <v>#REF!</v>
      </c>
      <c r="R15" s="13" t="e">
        <f t="shared" si="1"/>
        <v>#REF!</v>
      </c>
      <c r="S15" s="13" t="e">
        <f t="shared" si="2"/>
        <v>#REF!</v>
      </c>
      <c r="T15" s="39" t="e">
        <f t="shared" si="3"/>
        <v>#REF!</v>
      </c>
      <c r="U15" s="39" t="e">
        <f>+H15+#REF!</f>
        <v>#REF!</v>
      </c>
    </row>
    <row r="16" spans="1:21" ht="11.25" hidden="1" outlineLevel="1">
      <c r="A16" s="25">
        <v>1990</v>
      </c>
      <c r="B16" s="39" t="e">
        <f t="shared" si="0"/>
        <v>#REF!</v>
      </c>
      <c r="C16" s="39" t="e">
        <f>+manip_pt_pc!#REF!</f>
        <v>#REF!</v>
      </c>
      <c r="D16" s="39" t="e">
        <f>+'manip_pt_b+c'!#REF!</f>
        <v>#REF!</v>
      </c>
      <c r="F16" s="39" t="e">
        <f>+manip_pt_rail!#REF!</f>
        <v>#REF!</v>
      </c>
      <c r="G16" s="39" t="e">
        <f>+manip_pt_air_dom!#REF!</f>
        <v>#REF!</v>
      </c>
      <c r="H16" s="39" t="e">
        <f>manip_pt_air_intra!#REF!</f>
        <v>#REF!</v>
      </c>
      <c r="I16" s="39">
        <f>+manip_pt_air_extra!B5</f>
        <v>184.49524800000003</v>
      </c>
      <c r="J16" s="39"/>
      <c r="K16" s="39" t="e">
        <f>+'manip_pt_t+m'!#REF!</f>
        <v>#REF!</v>
      </c>
      <c r="L16" s="39" t="e">
        <f>+manip_pt_mbike!#REF!</f>
        <v>#REF!</v>
      </c>
      <c r="M16" s="39" t="e">
        <f>+manip_cycling!#REF!</f>
        <v>#REF!</v>
      </c>
      <c r="N16" s="39" t="e">
        <f>+manip_walking!#REF!</f>
        <v>#REF!</v>
      </c>
      <c r="O16" s="39"/>
      <c r="P16" s="39"/>
      <c r="Q16" s="13" t="e">
        <f>+B16+L16+#REF!</f>
        <v>#REF!</v>
      </c>
      <c r="R16" s="13" t="e">
        <f t="shared" si="1"/>
        <v>#REF!</v>
      </c>
      <c r="S16" s="13" t="e">
        <f t="shared" si="2"/>
        <v>#REF!</v>
      </c>
      <c r="T16" s="39" t="e">
        <f t="shared" si="3"/>
        <v>#REF!</v>
      </c>
      <c r="U16" s="39" t="e">
        <f>+H16+#REF!</f>
        <v>#REF!</v>
      </c>
    </row>
    <row r="17" spans="1:22" ht="11.25">
      <c r="A17" s="25">
        <v>1991</v>
      </c>
      <c r="B17" s="39">
        <f>C17+D17+F17+G17+H17+I17</f>
        <v>4035.175091605126</v>
      </c>
      <c r="C17" s="39">
        <f>+manip_pt_pc!B5</f>
        <v>3150.0248260856574</v>
      </c>
      <c r="D17" s="39">
        <f>+'manip_pt_b+c'!B5</f>
        <v>362.7321975194688</v>
      </c>
      <c r="F17" s="39">
        <f>+manip_pt_rail!B5</f>
        <v>265.159588</v>
      </c>
      <c r="G17" s="39">
        <f>+manip_pt_air_dom!B5</f>
        <v>28.334401</v>
      </c>
      <c r="H17" s="39">
        <f>manip_pt_air_intra!B5</f>
        <v>53.501591999999995</v>
      </c>
      <c r="I17" s="39">
        <f>+manip_pt_air_extra!B6</f>
        <v>175.422487</v>
      </c>
      <c r="J17" s="39"/>
      <c r="K17" s="39">
        <f>+'manip_pt_t+m'!B6</f>
        <v>48.37800000000001</v>
      </c>
      <c r="L17" s="39" t="e">
        <f>+manip_pt_mbike!B5</f>
        <v>#N/A</v>
      </c>
      <c r="M17" s="39" t="e">
        <f>+manip_cycling!B5</f>
        <v>#N/A</v>
      </c>
      <c r="N17" s="39" t="e">
        <f>+manip_walking!B5</f>
        <v>#N/A</v>
      </c>
      <c r="O17" s="39"/>
      <c r="P17" s="39" t="e">
        <f>+B17+K17+L17+M17+N17</f>
        <v>#N/A</v>
      </c>
      <c r="Q17" s="13" t="e">
        <f>+B17+L17+K17</f>
        <v>#N/A</v>
      </c>
      <c r="R17" s="13" t="e">
        <f t="shared" si="1"/>
        <v>#N/A</v>
      </c>
      <c r="S17" s="13">
        <f t="shared" si="2"/>
        <v>312.94458799999995</v>
      </c>
      <c r="T17" s="39">
        <f t="shared" si="3"/>
        <v>81.835993</v>
      </c>
      <c r="U17" s="39">
        <f aca="true" t="shared" si="4" ref="U17:U27">+G17+H17+I17</f>
        <v>257.25847999999996</v>
      </c>
      <c r="V17" s="23">
        <f>+C17+D17+F17+G17+H17</f>
        <v>3859.752604605126</v>
      </c>
    </row>
    <row r="18" spans="1:22" ht="11.25">
      <c r="A18" s="25">
        <v>1992</v>
      </c>
      <c r="B18" s="39">
        <f aca="true" t="shared" si="5" ref="B18:B27">C18+D18+F18+G18+H18+I18</f>
        <v>4192.369065780687</v>
      </c>
      <c r="C18" s="39">
        <f>+manip_pt_pc!B6</f>
        <v>3268.71893006312</v>
      </c>
      <c r="D18" s="39">
        <f>+'manip_pt_b+c'!B6</f>
        <v>364.2882467175676</v>
      </c>
      <c r="F18" s="39">
        <f>+manip_pt_rail!B6</f>
        <v>265.039721</v>
      </c>
      <c r="G18" s="39">
        <f>+manip_pt_air_dom!B6</f>
        <v>31.171726999999997</v>
      </c>
      <c r="H18" s="39">
        <f>manip_pt_air_intra!B6</f>
        <v>60.398452999999996</v>
      </c>
      <c r="I18" s="39">
        <f>+manip_pt_air_extra!B7</f>
        <v>202.75198799999995</v>
      </c>
      <c r="J18" s="39"/>
      <c r="K18" s="39">
        <f>+'manip_pt_t+m'!B7</f>
        <v>47.785</v>
      </c>
      <c r="L18" s="39" t="e">
        <f>+manip_pt_mbike!B6</f>
        <v>#N/A</v>
      </c>
      <c r="M18" s="39">
        <f>+manip_cycling!B6</f>
        <v>70.60999999999999</v>
      </c>
      <c r="N18" s="39">
        <f>+manip_walking!B6</f>
        <v>137.3</v>
      </c>
      <c r="O18" s="39"/>
      <c r="P18" s="39" t="e">
        <f aca="true" t="shared" si="6" ref="P18:P27">+B18+K18+L18+M18+N18</f>
        <v>#N/A</v>
      </c>
      <c r="Q18" s="13" t="e">
        <f>+B18+L18+K18</f>
        <v>#N/A</v>
      </c>
      <c r="R18" s="13" t="e">
        <f t="shared" si="1"/>
        <v>#N/A</v>
      </c>
      <c r="S18" s="13">
        <f t="shared" si="2"/>
        <v>313.01672099999996</v>
      </c>
      <c r="T18" s="39">
        <f t="shared" si="3"/>
        <v>91.57018</v>
      </c>
      <c r="U18" s="39">
        <f t="shared" si="4"/>
        <v>294.3221679999999</v>
      </c>
      <c r="V18" s="23">
        <f aca="true" t="shared" si="7" ref="V18:V27">+C18+D18+F18+G18+H18</f>
        <v>3989.6170777806874</v>
      </c>
    </row>
    <row r="19" spans="1:22" ht="11.25">
      <c r="A19" s="25">
        <v>1993</v>
      </c>
      <c r="B19" s="39">
        <f t="shared" si="5"/>
        <v>4232.072547141329</v>
      </c>
      <c r="C19" s="39">
        <f>+manip_pt_pc!B7</f>
        <v>3297.737454114875</v>
      </c>
      <c r="D19" s="39">
        <f>+'manip_pt_b+c'!B7</f>
        <v>360.59468302745324</v>
      </c>
      <c r="F19" s="39">
        <f>+manip_pt_rail!B7</f>
        <v>257.42368899900003</v>
      </c>
      <c r="G19" s="39">
        <f>+manip_pt_air_dom!B7</f>
        <v>32.05600700000001</v>
      </c>
      <c r="H19" s="39">
        <f>manip_pt_air_intra!B7</f>
        <v>65.15387100000001</v>
      </c>
      <c r="I19" s="39">
        <f>+manip_pt_air_extra!B8</f>
        <v>219.10684299999994</v>
      </c>
      <c r="J19" s="39"/>
      <c r="K19" s="39">
        <f>+'manip_pt_t+m'!B8</f>
        <v>47.977</v>
      </c>
      <c r="L19" s="39" t="e">
        <f>+manip_pt_mbike!B7</f>
        <v>#N/A</v>
      </c>
      <c r="M19" s="39">
        <f>+manip_cycling!B7</f>
        <v>69.80999999999999</v>
      </c>
      <c r="N19" s="39">
        <f>+manip_walking!B7</f>
        <v>137.29999999999998</v>
      </c>
      <c r="O19" s="39"/>
      <c r="P19" s="39" t="e">
        <f t="shared" si="6"/>
        <v>#N/A</v>
      </c>
      <c r="Q19" s="13" t="e">
        <f>+B19+L19+K19</f>
        <v>#N/A</v>
      </c>
      <c r="R19" s="13" t="e">
        <f t="shared" si="1"/>
        <v>#N/A</v>
      </c>
      <c r="S19" s="13">
        <f t="shared" si="2"/>
        <v>305.133688999</v>
      </c>
      <c r="T19" s="39">
        <f t="shared" si="3"/>
        <v>97.20987800000002</v>
      </c>
      <c r="U19" s="39">
        <f t="shared" si="4"/>
        <v>316.316721</v>
      </c>
      <c r="V19" s="23">
        <f t="shared" si="7"/>
        <v>4012.965704141329</v>
      </c>
    </row>
    <row r="20" spans="1:22" ht="11.25">
      <c r="A20" s="25">
        <v>1994</v>
      </c>
      <c r="B20" s="39">
        <f t="shared" si="5"/>
        <v>4311.568340479006</v>
      </c>
      <c r="C20" s="39">
        <f>+manip_pt_pc!B8</f>
        <v>3344.4138374320937</v>
      </c>
      <c r="D20" s="39">
        <f>+'manip_pt_b+c'!B8</f>
        <v>366.0158490469121</v>
      </c>
      <c r="F20" s="39">
        <f>+manip_pt_rail!B8</f>
        <v>258.76317199999994</v>
      </c>
      <c r="G20" s="39">
        <f>+manip_pt_air_dom!B8</f>
        <v>33.077872</v>
      </c>
      <c r="H20" s="39">
        <f>manip_pt_air_intra!B8</f>
        <v>71.06540199999999</v>
      </c>
      <c r="I20" s="39">
        <f>+manip_pt_air_extra!B9</f>
        <v>238.2322080000001</v>
      </c>
      <c r="J20" s="39"/>
      <c r="K20" s="39">
        <f>+'manip_pt_t+m'!B9</f>
        <v>47.71</v>
      </c>
      <c r="L20" s="39">
        <f>+manip_pt_mbike!B8</f>
        <v>127.32000000000001</v>
      </c>
      <c r="M20" s="39">
        <f>+manip_cycling!B8</f>
        <v>69.50999999999999</v>
      </c>
      <c r="N20" s="39">
        <f>+manip_walking!B8</f>
        <v>137.7</v>
      </c>
      <c r="O20" s="39"/>
      <c r="P20" s="39">
        <f t="shared" si="6"/>
        <v>4693.808340479006</v>
      </c>
      <c r="Q20" s="13">
        <f>+B20+L20+K20</f>
        <v>4486.598340479006</v>
      </c>
      <c r="R20" s="13">
        <f t="shared" si="1"/>
        <v>3471.733837432094</v>
      </c>
      <c r="S20" s="13">
        <f t="shared" si="2"/>
        <v>306.103172</v>
      </c>
      <c r="T20" s="39">
        <f t="shared" si="3"/>
        <v>104.14327399999999</v>
      </c>
      <c r="U20" s="39">
        <f t="shared" si="4"/>
        <v>342.3754820000001</v>
      </c>
      <c r="V20" s="23">
        <f t="shared" si="7"/>
        <v>4073.3361324790058</v>
      </c>
    </row>
    <row r="21" spans="1:22" ht="11.25">
      <c r="A21" s="25">
        <v>1995</v>
      </c>
      <c r="B21" s="39">
        <f t="shared" si="5"/>
        <v>4405.713821776544</v>
      </c>
      <c r="C21" s="39">
        <f>+manip_pt_pc!B9</f>
        <v>3396.536178031357</v>
      </c>
      <c r="D21" s="39">
        <f>+'manip_pt_b+c'!B9</f>
        <v>368.9883071571881</v>
      </c>
      <c r="F21" s="39">
        <f>+manip_pt_rail!B9</f>
        <v>271.43261558800003</v>
      </c>
      <c r="G21" s="39">
        <f>+manip_pt_air_dom!B9</f>
        <v>28.42834</v>
      </c>
      <c r="H21" s="39">
        <f>manip_pt_air_intra!B9</f>
        <v>77.34053600000001</v>
      </c>
      <c r="I21" s="39">
        <f>+manip_pt_air_extra!B10</f>
        <v>262.98784500000005</v>
      </c>
      <c r="J21" s="39"/>
      <c r="K21" s="39">
        <f>+'manip_pt_t+m'!B10</f>
        <v>47.34</v>
      </c>
      <c r="L21" s="39">
        <f>+manip_pt_mbike!B9</f>
        <v>128.84199999999998</v>
      </c>
      <c r="M21" s="39">
        <f>+manip_cycling!B9</f>
        <v>70.81</v>
      </c>
      <c r="N21" s="39">
        <f>+manip_walking!B9</f>
        <v>139.7</v>
      </c>
      <c r="O21" s="39"/>
      <c r="P21" s="39">
        <f t="shared" si="6"/>
        <v>4792.405821776544</v>
      </c>
      <c r="Q21" s="13">
        <f aca="true" t="shared" si="8" ref="Q21:Q27">+B21+L21+K21</f>
        <v>4581.895821776544</v>
      </c>
      <c r="R21" s="13">
        <f t="shared" si="1"/>
        <v>3525.378178031357</v>
      </c>
      <c r="S21" s="13">
        <f t="shared" si="2"/>
        <v>319.67261558800004</v>
      </c>
      <c r="T21" s="39">
        <f t="shared" si="3"/>
        <v>105.768876</v>
      </c>
      <c r="U21" s="39">
        <f t="shared" si="4"/>
        <v>368.7567210000001</v>
      </c>
      <c r="V21" s="23">
        <f t="shared" si="7"/>
        <v>4142.7259767765445</v>
      </c>
    </row>
    <row r="22" spans="1:22" ht="11.25">
      <c r="A22" s="25">
        <v>1996</v>
      </c>
      <c r="B22" s="39">
        <f t="shared" si="5"/>
        <v>4497.17958708798</v>
      </c>
      <c r="C22" s="39">
        <f>+manip_pt_pc!B10</f>
        <v>3447.346895507963</v>
      </c>
      <c r="D22" s="39">
        <f>+'manip_pt_b+c'!B10</f>
        <v>371.9007865850179</v>
      </c>
      <c r="F22" s="39">
        <f>+manip_pt_rail!B10</f>
        <v>280.023194995</v>
      </c>
      <c r="G22" s="39">
        <f>+manip_pt_air_dom!B10</f>
        <v>30.815857</v>
      </c>
      <c r="H22" s="39">
        <f>manip_pt_air_intra!B10</f>
        <v>82.061392</v>
      </c>
      <c r="I22" s="39">
        <f>+manip_pt_air_extra!B11</f>
        <v>285.03146100000004</v>
      </c>
      <c r="J22" s="39"/>
      <c r="K22" s="39">
        <f>+'manip_pt_t+m'!B11</f>
        <v>48.23999999999999</v>
      </c>
      <c r="L22" s="39">
        <f>+manip_pt_mbike!B10</f>
        <v>132.333</v>
      </c>
      <c r="M22" s="39">
        <f>+manip_cycling!B10</f>
        <v>69.20999999999998</v>
      </c>
      <c r="N22" s="39">
        <f>+manip_walking!B10</f>
        <v>139.5</v>
      </c>
      <c r="O22" s="39"/>
      <c r="P22" s="39">
        <f t="shared" si="6"/>
        <v>4886.462587087979</v>
      </c>
      <c r="Q22" s="13">
        <f t="shared" si="8"/>
        <v>4677.752587087979</v>
      </c>
      <c r="R22" s="13">
        <f t="shared" si="1"/>
        <v>3579.679895507963</v>
      </c>
      <c r="S22" s="13">
        <f t="shared" si="2"/>
        <v>328.950194995</v>
      </c>
      <c r="T22" s="39">
        <f t="shared" si="3"/>
        <v>112.877249</v>
      </c>
      <c r="U22" s="39">
        <f t="shared" si="4"/>
        <v>397.90871000000004</v>
      </c>
      <c r="V22" s="23">
        <f t="shared" si="7"/>
        <v>4212.14812608798</v>
      </c>
    </row>
    <row r="23" spans="1:22" ht="11.25">
      <c r="A23" s="25">
        <v>1997</v>
      </c>
      <c r="B23" s="39">
        <f t="shared" si="5"/>
        <v>4610.1158867019585</v>
      </c>
      <c r="C23" s="39">
        <f>+manip_pt_pc!B11</f>
        <v>3508.481904444252</v>
      </c>
      <c r="D23" s="39">
        <f>+'manip_pt_b+c'!B11</f>
        <v>378.6745851977067</v>
      </c>
      <c r="F23" s="39">
        <f>+manip_pt_rail!B11</f>
        <v>282.09179006</v>
      </c>
      <c r="G23" s="39">
        <f>+manip_pt_air_dom!B11</f>
        <v>38.426491999999996</v>
      </c>
      <c r="H23" s="39">
        <f>manip_pt_air_intra!B11</f>
        <v>90.39389999999999</v>
      </c>
      <c r="I23" s="39">
        <f>+manip_pt_air_extra!B12</f>
        <v>312.0472150000001</v>
      </c>
      <c r="J23" s="39"/>
      <c r="K23" s="39">
        <f>+'manip_pt_t+m'!B12</f>
        <v>48.927</v>
      </c>
      <c r="L23" s="39">
        <f>+manip_pt_mbike!B11</f>
        <v>136.343</v>
      </c>
      <c r="M23" s="39">
        <f>+manip_cycling!B11</f>
        <v>70.71</v>
      </c>
      <c r="N23" s="39">
        <f>+manip_walking!B11</f>
        <v>141</v>
      </c>
      <c r="O23" s="39"/>
      <c r="P23" s="39">
        <f t="shared" si="6"/>
        <v>5007.095886701958</v>
      </c>
      <c r="Q23" s="13">
        <f t="shared" si="8"/>
        <v>4795.385886701958</v>
      </c>
      <c r="R23" s="13">
        <f t="shared" si="1"/>
        <v>3644.824904444252</v>
      </c>
      <c r="S23" s="13">
        <f t="shared" si="2"/>
        <v>331.92779006</v>
      </c>
      <c r="T23" s="39">
        <f t="shared" si="3"/>
        <v>128.82039199999997</v>
      </c>
      <c r="U23" s="39">
        <f t="shared" si="4"/>
        <v>440.8676070000001</v>
      </c>
      <c r="V23" s="23">
        <f t="shared" si="7"/>
        <v>4298.068671701958</v>
      </c>
    </row>
    <row r="24" spans="1:22" ht="11.25">
      <c r="A24" s="25">
        <v>1998</v>
      </c>
      <c r="B24" s="39">
        <f t="shared" si="5"/>
        <v>4764.50848266647</v>
      </c>
      <c r="C24" s="39">
        <f>+manip_pt_pc!B12</f>
        <v>3625.9135382649065</v>
      </c>
      <c r="D24" s="39">
        <f>+'manip_pt_b+c'!B12</f>
        <v>380.75020614256334</v>
      </c>
      <c r="F24" s="39">
        <f>+manip_pt_rail!B12</f>
        <v>284.434604259</v>
      </c>
      <c r="G24" s="39">
        <f>+manip_pt_air_dom!B12</f>
        <v>42.672391000000005</v>
      </c>
      <c r="H24" s="39">
        <f>manip_pt_air_intra!B12</f>
        <v>97.01048800000001</v>
      </c>
      <c r="I24" s="39">
        <f>+manip_pt_air_extra!B13</f>
        <v>333.727255</v>
      </c>
      <c r="J24" s="39"/>
      <c r="K24" s="39">
        <f>+'manip_pt_t+m'!B13</f>
        <v>49.83599999999999</v>
      </c>
      <c r="L24" s="39">
        <f>+manip_pt_mbike!B12</f>
        <v>141.716</v>
      </c>
      <c r="M24" s="39">
        <f>+manip_cycling!B12</f>
        <v>70.41</v>
      </c>
      <c r="N24" s="39">
        <f>+manip_walking!B12</f>
        <v>142.20000000000002</v>
      </c>
      <c r="O24" s="39"/>
      <c r="P24" s="39">
        <f t="shared" si="6"/>
        <v>5168.67048266647</v>
      </c>
      <c r="Q24" s="13">
        <f t="shared" si="8"/>
        <v>4956.06048266647</v>
      </c>
      <c r="R24" s="13">
        <f t="shared" si="1"/>
        <v>3767.6295382649064</v>
      </c>
      <c r="S24" s="13">
        <f t="shared" si="2"/>
        <v>335.574604259</v>
      </c>
      <c r="T24" s="39">
        <f t="shared" si="3"/>
        <v>139.682879</v>
      </c>
      <c r="U24" s="39">
        <f t="shared" si="4"/>
        <v>473.410134</v>
      </c>
      <c r="V24" s="23">
        <f t="shared" si="7"/>
        <v>4430.78122766647</v>
      </c>
    </row>
    <row r="25" spans="1:22" ht="11.25">
      <c r="A25" s="25">
        <v>1999</v>
      </c>
      <c r="B25" s="39">
        <f t="shared" si="5"/>
        <v>4874.064218380624</v>
      </c>
      <c r="C25" s="39">
        <f>+manip_pt_pc!B13</f>
        <v>3690.4545868683044</v>
      </c>
      <c r="D25" s="39">
        <f>+'manip_pt_b+c'!B13</f>
        <v>386.3532675123201</v>
      </c>
      <c r="F25" s="39">
        <f>+manip_pt_rail!B13</f>
        <v>291.233895</v>
      </c>
      <c r="G25" s="39">
        <f>+manip_pt_air_dom!B13</f>
        <v>46.399015</v>
      </c>
      <c r="H25" s="39">
        <f>manip_pt_air_intra!B13</f>
        <v>98.67064399999998</v>
      </c>
      <c r="I25" s="39">
        <f>+manip_pt_air_extra!B14</f>
        <v>360.95281</v>
      </c>
      <c r="J25" s="39"/>
      <c r="K25" s="39">
        <f>+'manip_pt_t+m'!B14</f>
        <v>51.13999999999999</v>
      </c>
      <c r="L25" s="39">
        <f>+manip_pt_mbike!B13</f>
        <v>147.596</v>
      </c>
      <c r="M25" s="39">
        <f>+manip_cycling!B13</f>
        <v>70.71</v>
      </c>
      <c r="N25" s="39">
        <f>+manip_walking!B13</f>
        <v>142.90000000000003</v>
      </c>
      <c r="O25" s="39"/>
      <c r="P25" s="39">
        <f t="shared" si="6"/>
        <v>5286.4102183806235</v>
      </c>
      <c r="Q25" s="13">
        <f t="shared" si="8"/>
        <v>5072.800218380625</v>
      </c>
      <c r="R25" s="13">
        <f t="shared" si="1"/>
        <v>3838.0505868683044</v>
      </c>
      <c r="S25" s="13">
        <f t="shared" si="2"/>
        <v>344.333895</v>
      </c>
      <c r="T25" s="39">
        <f t="shared" si="3"/>
        <v>145.06965899999997</v>
      </c>
      <c r="U25" s="39">
        <f t="shared" si="4"/>
        <v>506.022469</v>
      </c>
      <c r="V25" s="23">
        <f t="shared" si="7"/>
        <v>4513.111408380624</v>
      </c>
    </row>
    <row r="26" spans="1:22" ht="11.25">
      <c r="A26" s="25">
        <v>2000</v>
      </c>
      <c r="B26" s="39">
        <f t="shared" si="5"/>
        <v>4916.547136755309</v>
      </c>
      <c r="C26" s="39">
        <f>+manip_pt_pc!B14</f>
        <v>3676.334308342228</v>
      </c>
      <c r="D26" s="39">
        <f>+'manip_pt_b+c'!B14</f>
        <v>397.48351291308103</v>
      </c>
      <c r="F26" s="39">
        <f>+manip_pt_rail!B14</f>
        <v>300.6411145</v>
      </c>
      <c r="G26" s="39">
        <f>+manip_pt_air_dom!B14</f>
        <v>49.223038</v>
      </c>
      <c r="H26" s="39">
        <f>manip_pt_air_intra!B14</f>
        <v>106.739241</v>
      </c>
      <c r="I26" s="39">
        <f>+manip_pt_air_extra!B15</f>
        <v>386.125922</v>
      </c>
      <c r="J26" s="39"/>
      <c r="K26" s="39">
        <f>+'manip_pt_t+m'!B15</f>
        <v>53.099999999999994</v>
      </c>
      <c r="L26" s="39">
        <f>+manip_pt_mbike!B14</f>
        <v>150.16100000000003</v>
      </c>
      <c r="M26" s="39">
        <f>+manip_cycling!B14</f>
        <v>70.91</v>
      </c>
      <c r="N26" s="39">
        <f>+manip_walking!B14</f>
        <v>144.20000000000002</v>
      </c>
      <c r="O26" s="39"/>
      <c r="P26" s="39">
        <f t="shared" si="6"/>
        <v>5334.918136755309</v>
      </c>
      <c r="Q26" s="13">
        <f t="shared" si="8"/>
        <v>5119.8081367553095</v>
      </c>
      <c r="R26" s="13">
        <f t="shared" si="1"/>
        <v>3826.495308342228</v>
      </c>
      <c r="S26" s="13">
        <f t="shared" si="2"/>
        <v>300.6411145</v>
      </c>
      <c r="T26" s="39">
        <f t="shared" si="3"/>
        <v>155.96227900000002</v>
      </c>
      <c r="U26" s="39">
        <f t="shared" si="4"/>
        <v>542.088201</v>
      </c>
      <c r="V26" s="23">
        <f t="shared" si="7"/>
        <v>4530.421214755309</v>
      </c>
    </row>
    <row r="27" spans="1:22" ht="11.25">
      <c r="A27" s="25">
        <v>2001</v>
      </c>
      <c r="B27" s="39" t="e">
        <f t="shared" si="5"/>
        <v>#N/A</v>
      </c>
      <c r="C27" s="39" t="e">
        <f>+manip_pt_pc!B15</f>
        <v>#N/A</v>
      </c>
      <c r="D27" s="39" t="e">
        <f>+'manip_pt_b+c'!B15</f>
        <v>#N/A</v>
      </c>
      <c r="F27" s="39" t="e">
        <f>+manip_pt_rail!B15</f>
        <v>#N/A</v>
      </c>
      <c r="G27" s="39" t="e">
        <f>+manip_pt_air_dom!B15</f>
        <v>#N/A</v>
      </c>
      <c r="H27" s="39" t="e">
        <f>manip_pt_air_intra!B15</f>
        <v>#N/A</v>
      </c>
      <c r="I27" s="39" t="e">
        <f>+manip_pt_air_extra!B16</f>
        <v>#N/A</v>
      </c>
      <c r="J27" s="39"/>
      <c r="K27" s="39">
        <f>+'manip_pt_t+m'!B16</f>
        <v>0</v>
      </c>
      <c r="L27" s="39">
        <f>+manip_pt_mbike!B15</f>
        <v>0</v>
      </c>
      <c r="M27" s="39">
        <f>+manip_cycling!B15</f>
        <v>0</v>
      </c>
      <c r="N27" s="39">
        <f>+manip_walking!B15</f>
        <v>0</v>
      </c>
      <c r="O27" s="39"/>
      <c r="P27" s="39" t="e">
        <f t="shared" si="6"/>
        <v>#N/A</v>
      </c>
      <c r="Q27" s="13" t="e">
        <f t="shared" si="8"/>
        <v>#N/A</v>
      </c>
      <c r="R27" s="13" t="e">
        <f t="shared" si="1"/>
        <v>#N/A</v>
      </c>
      <c r="S27" s="13" t="e">
        <f t="shared" si="2"/>
        <v>#N/A</v>
      </c>
      <c r="T27" s="39" t="e">
        <f t="shared" si="3"/>
        <v>#N/A</v>
      </c>
      <c r="U27" s="39" t="e">
        <f t="shared" si="4"/>
        <v>#N/A</v>
      </c>
      <c r="V27" s="23" t="e">
        <f t="shared" si="7"/>
        <v>#N/A</v>
      </c>
    </row>
    <row r="28" spans="1:19" ht="11.25">
      <c r="A28" s="52"/>
      <c r="B28" s="23"/>
      <c r="K28" s="39"/>
      <c r="L28" s="90"/>
      <c r="M28" s="90"/>
      <c r="N28" s="90"/>
      <c r="O28" s="90"/>
      <c r="P28" s="90"/>
      <c r="Q28" s="90"/>
      <c r="R28" s="90"/>
      <c r="S28" s="90"/>
    </row>
    <row r="29" spans="1:21" ht="11.25">
      <c r="A29" s="290" t="s">
        <v>151</v>
      </c>
      <c r="L29" s="56"/>
      <c r="S29" s="46"/>
      <c r="T29" s="56"/>
      <c r="U29" s="56"/>
    </row>
    <row r="30" spans="1:21" ht="11.25">
      <c r="A30" s="30" t="s">
        <v>224</v>
      </c>
      <c r="B30" s="79">
        <f>POWER((B26/B17),(1/($A26-$A17)))-1</f>
        <v>0.02219344459497985</v>
      </c>
      <c r="C30" s="79">
        <f>POWER((C26/C17),(1/($A26-$A17)))-1</f>
        <v>0.017315517380302792</v>
      </c>
      <c r="D30" s="79">
        <f>POWER((D26/D17),(1/($A26-$A17)))-1</f>
        <v>0.010217247932187812</v>
      </c>
      <c r="E30" s="79">
        <f>POWER((K26/K18),(1/($A25-$A17)))-1</f>
        <v>0.013270423946587062</v>
      </c>
      <c r="F30" s="79">
        <f>POWER((F26/F17),(1/($A26-$A17)))-1</f>
        <v>0.014051741530362927</v>
      </c>
      <c r="G30" s="79">
        <f>POWER((G26/G17),(1/($A26-$A17)))-1</f>
        <v>0.06328695686193653</v>
      </c>
      <c r="H30" s="79">
        <f>POWER((H26/H17),(1/($A26-$A17)))-1</f>
        <v>0.07976339545529476</v>
      </c>
      <c r="I30" s="79">
        <f>POWER((I26/I17),(1/($A26-$A17)))-1</f>
        <v>0.09162009466943122</v>
      </c>
      <c r="J30" s="79"/>
      <c r="K30" s="79">
        <f>POWER((K26/K17),(1/($A26-$A17)))-1</f>
        <v>0.010401699138304465</v>
      </c>
      <c r="L30" s="79">
        <f>POWER((L26/L20),(1/($A26-$A20)))-1</f>
        <v>0.02788237735118959</v>
      </c>
      <c r="M30" s="79">
        <f>POWER((M25/M18),(1/($A25-$A18)))-1</f>
        <v>0.0002021958799596213</v>
      </c>
      <c r="N30" s="79">
        <f>POWER((N25/N18),(1/($A25-$A18)))-1</f>
        <v>0.005727306114699404</v>
      </c>
      <c r="O30" s="79"/>
      <c r="P30" s="79">
        <f>POWER((P25/P20),(1/($A25-$A20)))-1</f>
        <v>0.024064005875716887</v>
      </c>
      <c r="Q30" s="79">
        <f>POWER((Q26/Q20),(1/($A26-$A20)))-1</f>
        <v>0.022247559682684104</v>
      </c>
      <c r="R30" s="79">
        <f>POWER((R26/R20),(1/($A26-$A20)))-1</f>
        <v>0.01634805519917837</v>
      </c>
      <c r="S30" s="79">
        <f>POWER((S26/S17),(1/($A26-$A17)))-1</f>
        <v>-0.004446628450850421</v>
      </c>
      <c r="T30" s="79">
        <f>POWER((T26/T17),(1/($A26-$A17)))-1</f>
        <v>0.07428489275757388</v>
      </c>
      <c r="U30" s="79">
        <f>POWER((U26/U17),(1/($A26-$A17)))-1</f>
        <v>0.08634231152592675</v>
      </c>
    </row>
    <row r="31" spans="1:21" ht="11.25">
      <c r="A31" s="291" t="s">
        <v>97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11.25">
      <c r="A32" s="80" t="s">
        <v>224</v>
      </c>
      <c r="B32" s="79">
        <f>B26/B17-1</f>
        <v>0.21842225557542982</v>
      </c>
      <c r="C32" s="79">
        <f aca="true" t="shared" si="9" ref="C32:I32">C26/C17-1</f>
        <v>0.16708105850409538</v>
      </c>
      <c r="D32" s="79">
        <f t="shared" si="9"/>
        <v>0.09580433066393845</v>
      </c>
      <c r="E32" s="79" t="e">
        <f t="shared" si="9"/>
        <v>#DIV/0!</v>
      </c>
      <c r="F32" s="79">
        <f t="shared" si="9"/>
        <v>0.13381196873786072</v>
      </c>
      <c r="G32" s="79">
        <f t="shared" si="9"/>
        <v>0.7372182316471063</v>
      </c>
      <c r="H32" s="79">
        <f t="shared" si="9"/>
        <v>0.9950666327835631</v>
      </c>
      <c r="I32" s="79">
        <f t="shared" si="9"/>
        <v>1.2011198712511697</v>
      </c>
      <c r="J32" s="79"/>
      <c r="K32" s="79">
        <f>K26/K17-1</f>
        <v>0.09760634999379847</v>
      </c>
      <c r="L32" s="79">
        <f>L26/L20-1</f>
        <v>0.17939836632108097</v>
      </c>
      <c r="M32" s="79">
        <f>M26/M18-1</f>
        <v>0.0042486899872540285</v>
      </c>
      <c r="N32" s="79">
        <f>N26/N18-1</f>
        <v>0.050254916241806225</v>
      </c>
      <c r="O32" s="79"/>
      <c r="P32" s="79"/>
      <c r="Q32" s="79">
        <f>Q26/Q20-1</f>
        <v>0.14113360462053293</v>
      </c>
      <c r="R32" s="79">
        <f>R26/R20-1</f>
        <v>0.1021856765300122</v>
      </c>
      <c r="S32" s="79">
        <f>S26/S17-1</f>
        <v>-0.03931518221366381</v>
      </c>
      <c r="T32" s="79">
        <f>T25/T17-1</f>
        <v>0.7726877096731748</v>
      </c>
      <c r="U32" s="79">
        <f>U25/U17-1</f>
        <v>0.9669807152712715</v>
      </c>
    </row>
    <row r="33" spans="1:21" ht="11.25">
      <c r="A33" s="104" t="s">
        <v>222</v>
      </c>
      <c r="B33" s="85">
        <f>B26/B25-1</f>
        <v>0.00871611789899629</v>
      </c>
      <c r="C33" s="85">
        <f aca="true" t="shared" si="10" ref="C33:I33">C26/C25-1</f>
        <v>-0.0038261623856098437</v>
      </c>
      <c r="D33" s="85">
        <f t="shared" si="10"/>
        <v>0.028808467112047875</v>
      </c>
      <c r="E33" s="85" t="e">
        <f t="shared" si="10"/>
        <v>#DIV/0!</v>
      </c>
      <c r="F33" s="85">
        <f t="shared" si="10"/>
        <v>0.032301252228900124</v>
      </c>
      <c r="G33" s="85">
        <f t="shared" si="10"/>
        <v>0.06086385670040628</v>
      </c>
      <c r="H33" s="85">
        <f t="shared" si="10"/>
        <v>0.0817730246090218</v>
      </c>
      <c r="I33" s="85">
        <f t="shared" si="10"/>
        <v>0.06974072871187786</v>
      </c>
      <c r="J33" s="85"/>
      <c r="K33" s="85">
        <f>K26/K25-1</f>
        <v>0.03832616347281981</v>
      </c>
      <c r="L33" s="79">
        <f>L25/L24-1</f>
        <v>0.041491433571368086</v>
      </c>
      <c r="M33" s="79">
        <f>M25/M24-1</f>
        <v>0.004260758414997845</v>
      </c>
      <c r="N33" s="79">
        <f>N25/N24-1</f>
        <v>0.004922644163150691</v>
      </c>
      <c r="O33" s="79"/>
      <c r="P33" s="79"/>
      <c r="Q33" s="79">
        <f>Q25/Q24-1</f>
        <v>0.02355494573208805</v>
      </c>
      <c r="R33" s="79">
        <f>R25/R24-1</f>
        <v>0.018691075618817</v>
      </c>
      <c r="S33" s="85">
        <f>S26/S25-1</f>
        <v>-0.12689073348413749</v>
      </c>
      <c r="T33" s="85">
        <f>T25/T24-1</f>
        <v>0.03856435404656833</v>
      </c>
      <c r="U33" s="85">
        <f>U25/U24-1</f>
        <v>0.06888812185841364</v>
      </c>
    </row>
    <row r="34" ht="11.25"/>
    <row r="35" spans="1:18" ht="11.25">
      <c r="A35" s="30" t="s">
        <v>51</v>
      </c>
      <c r="B35" s="30" t="s">
        <v>223</v>
      </c>
      <c r="R35" s="81"/>
    </row>
    <row r="36" ht="11.25"/>
    <row r="37" spans="1:11" ht="11.25">
      <c r="A37" s="52" t="s">
        <v>225</v>
      </c>
      <c r="B37" s="81"/>
      <c r="I37" s="52"/>
      <c r="J37" s="52"/>
      <c r="K37" s="52"/>
    </row>
    <row r="38" spans="1:4" ht="11.25">
      <c r="A38" s="30">
        <v>1991</v>
      </c>
      <c r="B38" s="117">
        <f>+B17/'[6]manip_POP_EU'!$B$7*1000000</f>
        <v>11019.615953977758</v>
      </c>
      <c r="C38" s="52"/>
      <c r="D38" s="52"/>
    </row>
    <row r="39" spans="1:12" ht="11.25">
      <c r="A39" s="30">
        <v>1992</v>
      </c>
      <c r="B39" s="117">
        <f>+B18/'[6]manip_POP_EU'!$B$7*1000000</f>
        <v>11448.895275536303</v>
      </c>
      <c r="C39" s="23"/>
      <c r="L39" s="118"/>
    </row>
    <row r="40" spans="1:12" ht="11.25">
      <c r="A40" s="30">
        <v>1993</v>
      </c>
      <c r="B40" s="117">
        <f>+B19/'[6]manip_POP_EU'!$B$7*1000000</f>
        <v>11557.32108276841</v>
      </c>
      <c r="C40" s="23"/>
      <c r="L40" s="118"/>
    </row>
    <row r="41" spans="1:12" ht="11.25">
      <c r="A41" s="30">
        <v>1994</v>
      </c>
      <c r="B41" s="117">
        <f>+B20/'[6]manip_POP_EU'!$B$7*1000000</f>
        <v>11774.415283800843</v>
      </c>
      <c r="C41" s="113"/>
      <c r="D41" s="114"/>
      <c r="L41" s="118"/>
    </row>
    <row r="42" spans="1:12" ht="11.25">
      <c r="A42" s="30">
        <v>1995</v>
      </c>
      <c r="B42" s="117">
        <f>+B21/'[6]manip_POP_EU'!$B$7*1000000</f>
        <v>12031.51615901679</v>
      </c>
      <c r="L42" s="118"/>
    </row>
    <row r="43" spans="1:12" ht="11.25">
      <c r="A43" s="30">
        <v>1996</v>
      </c>
      <c r="B43" s="117">
        <f>+B22/'[6]manip_POP_EU'!$B$7*1000000</f>
        <v>12281.299026869432</v>
      </c>
      <c r="L43" s="118"/>
    </row>
    <row r="44" spans="1:12" ht="11.25">
      <c r="A44" s="30">
        <v>1997</v>
      </c>
      <c r="B44" s="117">
        <f>+B23/'[6]manip_POP_EU'!$B$7*1000000</f>
        <v>12589.715544308425</v>
      </c>
      <c r="L44" s="118"/>
    </row>
    <row r="45" spans="1:12" ht="11.25">
      <c r="A45" s="30">
        <v>1998</v>
      </c>
      <c r="B45" s="117">
        <f>+B24/'[6]manip_POP_EU'!$B$7*1000000</f>
        <v>13011.34461245124</v>
      </c>
      <c r="L45" s="118"/>
    </row>
    <row r="46" spans="1:12" ht="11.25">
      <c r="A46" s="30">
        <v>1999</v>
      </c>
      <c r="B46" s="117">
        <f>+B25/'[6]manip_POP_EU'!$B$7*1000000</f>
        <v>13310.529184550001</v>
      </c>
      <c r="I46" s="56"/>
      <c r="J46" s="56"/>
      <c r="K46" s="56"/>
      <c r="L46" s="119"/>
    </row>
    <row r="47" spans="1:2" ht="11.25">
      <c r="A47" s="30">
        <v>2000</v>
      </c>
      <c r="B47" s="117">
        <f>+B26/'[6]manip_POP_EU'!$B$7*1000000</f>
        <v>13426.545326220572</v>
      </c>
    </row>
    <row r="48" spans="1:2" ht="11.25">
      <c r="A48" s="30">
        <v>2001</v>
      </c>
      <c r="B48" s="117" t="e">
        <f>+B27/'[6]manip_POP_EU'!$B$7*1000000</f>
        <v>#N/A</v>
      </c>
    </row>
    <row r="50" ht="11.25">
      <c r="B50" s="30">
        <f>+B47/B38-1</f>
        <v>0.21842225557542982</v>
      </c>
    </row>
  </sheetData>
  <mergeCells count="2">
    <mergeCell ref="Q4:T4"/>
    <mergeCell ref="B4:H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CK231"/>
  <sheetViews>
    <sheetView workbookViewId="0" topLeftCell="A1">
      <selection activeCell="A28" sqref="A28"/>
    </sheetView>
  </sheetViews>
  <sheetFormatPr defaultColWidth="9.140625" defaultRowHeight="12.75" outlineLevelRow="1"/>
  <cols>
    <col min="1" max="1" width="7.421875" style="6" customWidth="1"/>
    <col min="2" max="2" width="9.00390625" style="6" customWidth="1"/>
    <col min="3" max="3" width="7.421875" style="6" customWidth="1"/>
    <col min="4" max="4" width="10.421875" style="6" customWidth="1"/>
    <col min="5" max="8" width="7.421875" style="6" customWidth="1"/>
    <col min="9" max="9" width="10.140625" style="6" customWidth="1"/>
    <col min="10" max="10" width="7.421875" style="6" customWidth="1"/>
    <col min="11" max="11" width="11.00390625" style="6" customWidth="1"/>
    <col min="12" max="34" width="7.421875" style="6" customWidth="1"/>
    <col min="35" max="35" width="8.57421875" style="6" customWidth="1"/>
    <col min="36" max="71" width="7.421875" style="6" customWidth="1"/>
    <col min="72" max="73" width="9.140625" style="6" customWidth="1"/>
    <col min="74" max="89" width="7.7109375" style="6" customWidth="1"/>
    <col min="90" max="16384" width="9.140625" style="6" customWidth="1"/>
  </cols>
  <sheetData>
    <row r="1" spans="1:89" ht="11.25">
      <c r="A1" s="2" t="s">
        <v>148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S1" s="2" t="s">
        <v>147</v>
      </c>
      <c r="T1" s="52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K1" s="2"/>
      <c r="AL1" s="52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U1" s="2"/>
      <c r="BV1" s="52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1:89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  <c r="S2" s="29" t="s">
        <v>3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46"/>
      <c r="AK2" s="29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46"/>
      <c r="BU2" s="29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46"/>
    </row>
    <row r="3" spans="1:89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  <c r="S3" s="29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46"/>
      <c r="AK3" s="29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46"/>
      <c r="BU3" s="29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46"/>
    </row>
    <row r="4" spans="1:89" ht="11.25">
      <c r="A4" s="47" t="s">
        <v>212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46"/>
      <c r="S4" s="31" t="s">
        <v>146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46"/>
      <c r="AK4" s="31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46"/>
      <c r="BU4" s="31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46"/>
    </row>
    <row r="5" spans="1:89" ht="11.25">
      <c r="A5" s="37"/>
      <c r="B5" s="120" t="s">
        <v>5</v>
      </c>
      <c r="C5" s="120" t="s">
        <v>7</v>
      </c>
      <c r="D5" s="120" t="s">
        <v>8</v>
      </c>
      <c r="E5" s="120" t="s">
        <v>9</v>
      </c>
      <c r="F5" s="120" t="s">
        <v>10</v>
      </c>
      <c r="G5" s="120" t="s">
        <v>11</v>
      </c>
      <c r="H5" s="120" t="s">
        <v>12</v>
      </c>
      <c r="I5" s="120" t="s">
        <v>13</v>
      </c>
      <c r="J5" s="120" t="s">
        <v>14</v>
      </c>
      <c r="K5" s="120" t="s">
        <v>15</v>
      </c>
      <c r="L5" s="120" t="s">
        <v>16</v>
      </c>
      <c r="M5" s="120" t="s">
        <v>17</v>
      </c>
      <c r="N5" s="120" t="s">
        <v>18</v>
      </c>
      <c r="O5" s="120" t="s">
        <v>19</v>
      </c>
      <c r="P5" s="120" t="s">
        <v>20</v>
      </c>
      <c r="Q5" s="120" t="s">
        <v>21</v>
      </c>
      <c r="S5" s="37"/>
      <c r="T5" s="37" t="s">
        <v>5</v>
      </c>
      <c r="U5" s="37" t="s">
        <v>7</v>
      </c>
      <c r="V5" s="37" t="s">
        <v>8</v>
      </c>
      <c r="W5" s="37" t="s">
        <v>9</v>
      </c>
      <c r="X5" s="37" t="s">
        <v>10</v>
      </c>
      <c r="Y5" s="37" t="s">
        <v>11</v>
      </c>
      <c r="Z5" s="37" t="s">
        <v>12</v>
      </c>
      <c r="AA5" s="37" t="s">
        <v>13</v>
      </c>
      <c r="AB5" s="37" t="s">
        <v>14</v>
      </c>
      <c r="AC5" s="37" t="s">
        <v>15</v>
      </c>
      <c r="AD5" s="37" t="s">
        <v>16</v>
      </c>
      <c r="AE5" s="37" t="s">
        <v>17</v>
      </c>
      <c r="AF5" s="37" t="s">
        <v>18</v>
      </c>
      <c r="AG5" s="37" t="s">
        <v>19</v>
      </c>
      <c r="AH5" s="37" t="s">
        <v>20</v>
      </c>
      <c r="AI5" s="37" t="s">
        <v>21</v>
      </c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1:89" ht="11.25" customHeight="1" hidden="1" outlineLevel="1">
      <c r="A6" s="53">
        <v>1980</v>
      </c>
      <c r="B6" s="28" t="e">
        <f>+manip_pt_mbike!#REF!+manip_pt_pc!#REF!+'manip_pt_b+c'!#REF!+'manip_pt_t+m'!#REF!+manip_pt_rail!#REF!+manip_waterborne_pt!#REF!+manip_pt_air_dom!#REF!+manip_pt_air_intra!#REF!+manip_pt_air_extra!#REF!</f>
        <v>#REF!</v>
      </c>
      <c r="C6" s="28" t="e">
        <f>+manip_pt_mbike!#REF!+manip_pt_pc!#REF!+'manip_pt_b+c'!#REF!+'manip_pt_t+m'!#REF!+manip_pt_rail!#REF!+manip_waterborne_pt!#REF!+manip_pt_air_dom!#REF!+manip_pt_air_intra!#REF!+manip_pt_air_extra!#REF!</f>
        <v>#REF!</v>
      </c>
      <c r="D6" s="28" t="e">
        <f>+manip_pt_mbike!#REF!+manip_pt_pc!#REF!+'manip_pt_b+c'!#REF!+'manip_pt_t+m'!#REF!+manip_pt_rail!#REF!+manip_waterborne_pt!#REF!+manip_pt_air_dom!#REF!+manip_pt_air_intra!#REF!+manip_pt_air_extra!#REF!</f>
        <v>#REF!</v>
      </c>
      <c r="E6" s="28" t="e">
        <f>+manip_pt_mbike!#REF!+manip_pt_pc!#REF!+'manip_pt_b+c'!#REF!+'manip_pt_t+m'!#REF!+manip_pt_rail!#REF!+manip_waterborne_pt!#REF!+manip_pt_air_dom!#REF!+manip_pt_air_intra!#REF!+manip_pt_air_extra!#REF!</f>
        <v>#REF!</v>
      </c>
      <c r="F6" s="28" t="e">
        <f>+manip_pt_mbike!#REF!+manip_pt_pc!#REF!+'manip_pt_b+c'!#REF!+'manip_pt_t+m'!#REF!+manip_pt_rail!#REF!+manip_waterborne_pt!#REF!+manip_pt_air_dom!#REF!+manip_pt_air_intra!#REF!+manip_pt_air_extra!#REF!</f>
        <v>#REF!</v>
      </c>
      <c r="G6" s="28" t="e">
        <f>+manip_pt_mbike!#REF!+manip_pt_pc!#REF!+'manip_pt_b+c'!#REF!+'manip_pt_t+m'!#REF!+manip_pt_rail!#REF!+manip_waterborne_pt!#REF!+manip_pt_air_dom!#REF!+manip_pt_air_intra!#REF!+manip_pt_air_extra!#REF!</f>
        <v>#REF!</v>
      </c>
      <c r="H6" s="28" t="e">
        <f>+manip_pt_mbike!#REF!+manip_pt_pc!#REF!+'manip_pt_b+c'!#REF!+'manip_pt_t+m'!#REF!+manip_pt_rail!#REF!+manip_waterborne_pt!#REF!+manip_pt_air_dom!#REF!+manip_pt_air_intra!#REF!+manip_pt_air_extra!#REF!</f>
        <v>#REF!</v>
      </c>
      <c r="I6" s="28" t="e">
        <f>+manip_pt_mbike!#REF!+manip_pt_pc!#REF!+'manip_pt_b+c'!#REF!+'manip_pt_t+m'!#REF!+manip_pt_rail!#REF!+manip_waterborne_pt!#REF!+manip_pt_air_dom!#REF!+manip_pt_air_intra!#REF!+manip_pt_air_extra!#REF!</f>
        <v>#REF!</v>
      </c>
      <c r="J6" s="28" t="e">
        <f>+manip_pt_mbike!#REF!+manip_pt_pc!#REF!+'manip_pt_b+c'!#REF!+'manip_pt_t+m'!#REF!+manip_pt_rail!#REF!+manip_waterborne_pt!#REF!+manip_pt_air_dom!#REF!+manip_pt_air_intra!#REF!+manip_pt_air_extra!#REF!</f>
        <v>#REF!</v>
      </c>
      <c r="K6" s="28" t="e">
        <f>+manip_pt_mbike!#REF!+manip_pt_pc!#REF!+'manip_pt_b+c'!#REF!+'manip_pt_t+m'!#REF!+manip_pt_rail!#REF!+manip_waterborne_pt!#REF!+manip_pt_air_dom!#REF!+manip_pt_air_intra!#REF!+manip_pt_air_extra!#REF!</f>
        <v>#REF!</v>
      </c>
      <c r="L6" s="28" t="e">
        <f>+manip_pt_mbike!#REF!+manip_pt_pc!#REF!+'manip_pt_b+c'!#REF!+'manip_pt_t+m'!#REF!+manip_pt_rail!#REF!+manip_waterborne_pt!#REF!+manip_pt_air_dom!#REF!+manip_pt_air_intra!#REF!+manip_pt_air_extra!#REF!</f>
        <v>#REF!</v>
      </c>
      <c r="M6" s="28" t="e">
        <f>+manip_pt_mbike!#REF!+manip_pt_pc!#REF!+'manip_pt_b+c'!#REF!+'manip_pt_t+m'!#REF!+manip_pt_rail!#REF!+manip_waterborne_pt!#REF!+manip_pt_air_dom!#REF!+manip_pt_air_intra!#REF!+manip_pt_air_extra!#REF!</f>
        <v>#REF!</v>
      </c>
      <c r="N6" s="28" t="e">
        <f>+manip_pt_mbike!#REF!+manip_pt_pc!#REF!+'manip_pt_b+c'!#REF!+'manip_pt_t+m'!#REF!+manip_pt_rail!#REF!+manip_waterborne_pt!#REF!+manip_pt_air_dom!#REF!+manip_pt_air_intra!#REF!+manip_pt_air_extra!#REF!</f>
        <v>#REF!</v>
      </c>
      <c r="O6" s="28" t="e">
        <f>+manip_pt_mbike!#REF!+manip_pt_pc!#REF!+'manip_pt_b+c'!#REF!+'manip_pt_t+m'!#REF!+manip_pt_rail!#REF!+manip_waterborne_pt!#REF!+manip_pt_air_dom!#REF!+manip_pt_air_intra!#REF!+manip_pt_air_extra!#REF!</f>
        <v>#REF!</v>
      </c>
      <c r="P6" s="28" t="e">
        <f>+manip_pt_mbike!#REF!+manip_pt_pc!#REF!+'manip_pt_b+c'!#REF!+'manip_pt_t+m'!#REF!+manip_pt_rail!#REF!+manip_waterborne_pt!#REF!+manip_pt_air_dom!#REF!+manip_pt_air_intra!#REF!+manip_pt_air_extra!#REF!</f>
        <v>#REF!</v>
      </c>
      <c r="Q6" s="28" t="e">
        <f>+manip_pt_mbike!#REF!+manip_pt_pc!#REF!+'manip_pt_b+c'!#REF!+'manip_pt_t+m'!#REF!+manip_pt_rail!#REF!+manip_waterborne_pt!#REF!+manip_pt_air_dom!#REF!+manip_pt_air_intra!#REF!+manip_pt_air_extra!#REF!</f>
        <v>#REF!</v>
      </c>
      <c r="R6" s="13"/>
      <c r="S6" s="53">
        <v>1980</v>
      </c>
      <c r="T6" s="28" t="e">
        <f>manip_pt_pc!#REF!+'manip_pt_b+c'!#REF!+'manip_pt_t+m'!#REF!+manip_pt_rail!#REF!+manip_pt_air_dom!#REF!+manip_pt_air_intra!#REF!+manip_pt_air_extra!#REF!</f>
        <v>#REF!</v>
      </c>
      <c r="U6" s="28" t="e">
        <f>manip_pt_pc!#REF!+'manip_pt_b+c'!#REF!+'manip_pt_t+m'!#REF!+manip_pt_rail!#REF!+manip_pt_air_dom!#REF!+manip_pt_air_intra!#REF!+manip_pt_air_extra!#REF!</f>
        <v>#REF!</v>
      </c>
      <c r="V6" s="28" t="e">
        <f>manip_pt_pc!#REF!+'manip_pt_b+c'!#REF!+'manip_pt_t+m'!#REF!+manip_pt_rail!#REF!+manip_pt_air_dom!#REF!+manip_pt_air_intra!#REF!+manip_pt_air_extra!#REF!</f>
        <v>#REF!</v>
      </c>
      <c r="W6" s="28" t="e">
        <f>manip_pt_pc!#REF!+'manip_pt_b+c'!#REF!+'manip_pt_t+m'!#REF!+manip_pt_rail!#REF!+manip_pt_air_dom!#REF!+manip_pt_air_intra!#REF!+manip_pt_air_extra!#REF!</f>
        <v>#REF!</v>
      </c>
      <c r="X6" s="28" t="e">
        <f>manip_pt_pc!#REF!+'manip_pt_b+c'!#REF!+'manip_pt_t+m'!#REF!+manip_pt_rail!#REF!+manip_pt_air_dom!#REF!+manip_pt_air_intra!#REF!+manip_pt_air_extra!#REF!</f>
        <v>#REF!</v>
      </c>
      <c r="Y6" s="28" t="e">
        <f>manip_pt_pc!#REF!+'manip_pt_b+c'!#REF!+'manip_pt_t+m'!#REF!+manip_pt_rail!#REF!+manip_pt_air_dom!#REF!+manip_pt_air_intra!#REF!+manip_pt_air_extra!#REF!</f>
        <v>#REF!</v>
      </c>
      <c r="Z6" s="28" t="e">
        <f>manip_pt_pc!#REF!+'manip_pt_b+c'!#REF!+'manip_pt_t+m'!#REF!+manip_pt_rail!#REF!+manip_pt_air_dom!#REF!+manip_pt_air_intra!#REF!+manip_pt_air_extra!#REF!</f>
        <v>#REF!</v>
      </c>
      <c r="AA6" s="28" t="e">
        <f>manip_pt_pc!#REF!+'manip_pt_b+c'!#REF!+'manip_pt_t+m'!#REF!+manip_pt_rail!#REF!+manip_pt_air_dom!#REF!+manip_pt_air_intra!#REF!+manip_pt_air_extra!#REF!</f>
        <v>#REF!</v>
      </c>
      <c r="AB6" s="28" t="e">
        <f>manip_pt_pc!#REF!+'manip_pt_b+c'!#REF!+'manip_pt_t+m'!#REF!+manip_pt_rail!#REF!+manip_pt_air_dom!#REF!+manip_pt_air_intra!#REF!+manip_pt_air_extra!#REF!</f>
        <v>#REF!</v>
      </c>
      <c r="AC6" s="28" t="e">
        <f>manip_pt_pc!#REF!+'manip_pt_b+c'!#REF!+'manip_pt_t+m'!#REF!+manip_pt_rail!#REF!+manip_pt_air_dom!#REF!+manip_pt_air_intra!#REF!+manip_pt_air_extra!#REF!</f>
        <v>#REF!</v>
      </c>
      <c r="AD6" s="28" t="e">
        <f>manip_pt_pc!#REF!+'manip_pt_b+c'!#REF!+'manip_pt_t+m'!#REF!+manip_pt_rail!#REF!+manip_pt_air_dom!#REF!+manip_pt_air_intra!#REF!+manip_pt_air_extra!#REF!</f>
        <v>#REF!</v>
      </c>
      <c r="AE6" s="28" t="e">
        <f>manip_pt_pc!#REF!+'manip_pt_b+c'!#REF!+'manip_pt_t+m'!#REF!+manip_pt_rail!#REF!+manip_pt_air_dom!#REF!+manip_pt_air_intra!#REF!+manip_pt_air_extra!#REF!</f>
        <v>#REF!</v>
      </c>
      <c r="AF6" s="28" t="e">
        <f>manip_pt_pc!#REF!+'manip_pt_b+c'!#REF!+'manip_pt_t+m'!#REF!+manip_pt_rail!#REF!+manip_pt_air_dom!#REF!+manip_pt_air_intra!#REF!+manip_pt_air_extra!#REF!</f>
        <v>#REF!</v>
      </c>
      <c r="AG6" s="28" t="e">
        <f>manip_pt_pc!#REF!+'manip_pt_b+c'!#REF!+'manip_pt_t+m'!#REF!+manip_pt_rail!#REF!+manip_pt_air_dom!#REF!+manip_pt_air_intra!#REF!+manip_pt_air_extra!#REF!</f>
        <v>#REF!</v>
      </c>
      <c r="AH6" s="28" t="e">
        <f>manip_pt_pc!#REF!+'manip_pt_b+c'!#REF!+'manip_pt_t+m'!#REF!+manip_pt_rail!#REF!+manip_pt_air_dom!#REF!+manip_pt_air_intra!#REF!+manip_pt_air_extra!#REF!</f>
        <v>#REF!</v>
      </c>
      <c r="AI6" s="28" t="e">
        <f>manip_pt_pc!#REF!+'manip_pt_b+c'!#REF!+'manip_pt_t+m'!#REF!+manip_pt_rail!#REF!+manip_pt_air_dom!#REF!+manip_pt_air_intra!#REF!+manip_pt_air_extra!#REF!</f>
        <v>#REF!</v>
      </c>
      <c r="AK6" s="53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U6" s="53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11.25" customHeight="1" hidden="1" outlineLevel="1">
      <c r="A7" s="53">
        <v>1981</v>
      </c>
      <c r="B7" s="28" t="e">
        <f>+manip_pt_mbike!#REF!+manip_pt_pc!#REF!+'manip_pt_b+c'!#REF!+'manip_pt_t+m'!#REF!+manip_pt_rail!#REF!+manip_waterborne_pt!#REF!+manip_pt_air_dom!#REF!+manip_pt_air_intra!#REF!+manip_pt_air_extra!#REF!</f>
        <v>#REF!</v>
      </c>
      <c r="C7" s="28" t="e">
        <f>+manip_pt_mbike!#REF!+manip_pt_pc!#REF!+'manip_pt_b+c'!#REF!+'manip_pt_t+m'!#REF!+manip_pt_rail!#REF!+manip_waterborne_pt!#REF!+manip_pt_air_dom!#REF!+manip_pt_air_intra!#REF!+manip_pt_air_extra!#REF!</f>
        <v>#REF!</v>
      </c>
      <c r="D7" s="28" t="e">
        <f>+manip_pt_mbike!#REF!+manip_pt_pc!#REF!+'manip_pt_b+c'!#REF!+'manip_pt_t+m'!#REF!+manip_pt_rail!#REF!+manip_waterborne_pt!#REF!+manip_pt_air_dom!#REF!+manip_pt_air_intra!#REF!+manip_pt_air_extra!#REF!</f>
        <v>#REF!</v>
      </c>
      <c r="E7" s="28" t="e">
        <f>+manip_pt_mbike!#REF!+manip_pt_pc!#REF!+'manip_pt_b+c'!#REF!+'manip_pt_t+m'!#REF!+manip_pt_rail!#REF!+manip_waterborne_pt!#REF!+manip_pt_air_dom!#REF!+manip_pt_air_intra!#REF!+manip_pt_air_extra!#REF!</f>
        <v>#REF!</v>
      </c>
      <c r="F7" s="28" t="e">
        <f>+manip_pt_mbike!#REF!+manip_pt_pc!#REF!+'manip_pt_b+c'!#REF!+'manip_pt_t+m'!#REF!+manip_pt_rail!#REF!+manip_waterborne_pt!#REF!+manip_pt_air_dom!#REF!+manip_pt_air_intra!#REF!+manip_pt_air_extra!#REF!</f>
        <v>#REF!</v>
      </c>
      <c r="G7" s="28" t="e">
        <f>+manip_pt_mbike!#REF!+manip_pt_pc!#REF!+'manip_pt_b+c'!#REF!+'manip_pt_t+m'!#REF!+manip_pt_rail!#REF!+manip_waterborne_pt!#REF!+manip_pt_air_dom!#REF!+manip_pt_air_intra!#REF!+manip_pt_air_extra!#REF!</f>
        <v>#REF!</v>
      </c>
      <c r="H7" s="28" t="e">
        <f>+manip_pt_mbike!#REF!+manip_pt_pc!#REF!+'manip_pt_b+c'!#REF!+'manip_pt_t+m'!#REF!+manip_pt_rail!#REF!+manip_waterborne_pt!#REF!+manip_pt_air_dom!#REF!+manip_pt_air_intra!#REF!+manip_pt_air_extra!#REF!</f>
        <v>#REF!</v>
      </c>
      <c r="I7" s="28" t="e">
        <f>+manip_pt_mbike!#REF!+manip_pt_pc!#REF!+'manip_pt_b+c'!#REF!+'manip_pt_t+m'!#REF!+manip_pt_rail!#REF!+manip_waterborne_pt!#REF!+manip_pt_air_dom!#REF!+manip_pt_air_intra!#REF!+manip_pt_air_extra!#REF!</f>
        <v>#REF!</v>
      </c>
      <c r="J7" s="28" t="e">
        <f>+manip_pt_mbike!#REF!+manip_pt_pc!#REF!+'manip_pt_b+c'!#REF!+'manip_pt_t+m'!#REF!+manip_pt_rail!#REF!+manip_waterborne_pt!#REF!+manip_pt_air_dom!#REF!+manip_pt_air_intra!#REF!+manip_pt_air_extra!#REF!</f>
        <v>#REF!</v>
      </c>
      <c r="K7" s="28" t="e">
        <f>+manip_pt_mbike!#REF!+manip_pt_pc!#REF!+'manip_pt_b+c'!#REF!+'manip_pt_t+m'!#REF!+manip_pt_rail!#REF!+manip_waterborne_pt!#REF!+manip_pt_air_dom!#REF!+manip_pt_air_intra!#REF!+manip_pt_air_extra!#REF!</f>
        <v>#REF!</v>
      </c>
      <c r="L7" s="28" t="e">
        <f>+manip_pt_mbike!#REF!+manip_pt_pc!#REF!+'manip_pt_b+c'!#REF!+'manip_pt_t+m'!#REF!+manip_pt_rail!#REF!+manip_waterborne_pt!#REF!+manip_pt_air_dom!#REF!+manip_pt_air_intra!#REF!+manip_pt_air_extra!#REF!</f>
        <v>#REF!</v>
      </c>
      <c r="M7" s="28" t="e">
        <f>+manip_pt_mbike!#REF!+manip_pt_pc!#REF!+'manip_pt_b+c'!#REF!+'manip_pt_t+m'!#REF!+manip_pt_rail!#REF!+manip_waterborne_pt!#REF!+manip_pt_air_dom!#REF!+manip_pt_air_intra!#REF!+manip_pt_air_extra!#REF!</f>
        <v>#REF!</v>
      </c>
      <c r="N7" s="28" t="e">
        <f>+manip_pt_mbike!#REF!+manip_pt_pc!#REF!+'manip_pt_b+c'!#REF!+'manip_pt_t+m'!#REF!+manip_pt_rail!#REF!+manip_waterborne_pt!#REF!+manip_pt_air_dom!#REF!+manip_pt_air_intra!#REF!+manip_pt_air_extra!#REF!</f>
        <v>#REF!</v>
      </c>
      <c r="O7" s="28" t="e">
        <f>+manip_pt_mbike!#REF!+manip_pt_pc!#REF!+'manip_pt_b+c'!#REF!+'manip_pt_t+m'!#REF!+manip_pt_rail!#REF!+manip_waterborne_pt!#REF!+manip_pt_air_dom!#REF!+manip_pt_air_intra!#REF!+manip_pt_air_extra!#REF!</f>
        <v>#REF!</v>
      </c>
      <c r="P7" s="28" t="e">
        <f>+manip_pt_mbike!#REF!+manip_pt_pc!#REF!+'manip_pt_b+c'!#REF!+'manip_pt_t+m'!#REF!+manip_pt_rail!#REF!+manip_waterborne_pt!#REF!+manip_pt_air_dom!#REF!+manip_pt_air_intra!#REF!+manip_pt_air_extra!#REF!</f>
        <v>#REF!</v>
      </c>
      <c r="Q7" s="28" t="e">
        <f>+manip_pt_mbike!#REF!+manip_pt_pc!#REF!+'manip_pt_b+c'!#REF!+'manip_pt_t+m'!#REF!+manip_pt_rail!#REF!+manip_waterborne_pt!#REF!+manip_pt_air_dom!#REF!+manip_pt_air_intra!#REF!+manip_pt_air_extra!#REF!</f>
        <v>#REF!</v>
      </c>
      <c r="S7" s="53">
        <v>1981</v>
      </c>
      <c r="T7" s="28" t="e">
        <f>manip_pt_pc!#REF!+'manip_pt_b+c'!#REF!+'manip_pt_t+m'!#REF!+manip_pt_rail!#REF!+manip_pt_air_dom!#REF!+manip_pt_air_intra!#REF!+manip_pt_air_extra!#REF!</f>
        <v>#REF!</v>
      </c>
      <c r="U7" s="28" t="e">
        <f>manip_pt_pc!#REF!+'manip_pt_b+c'!#REF!+'manip_pt_t+m'!#REF!+manip_pt_rail!#REF!+manip_pt_air_dom!#REF!+manip_pt_air_intra!#REF!+manip_pt_air_extra!#REF!</f>
        <v>#REF!</v>
      </c>
      <c r="V7" s="28" t="e">
        <f>manip_pt_pc!#REF!+'manip_pt_b+c'!#REF!+'manip_pt_t+m'!#REF!+manip_pt_rail!#REF!+manip_pt_air_dom!#REF!+manip_pt_air_intra!#REF!+manip_pt_air_extra!#REF!</f>
        <v>#REF!</v>
      </c>
      <c r="W7" s="28" t="e">
        <f>manip_pt_pc!#REF!+'manip_pt_b+c'!#REF!+'manip_pt_t+m'!#REF!+manip_pt_rail!#REF!+manip_pt_air_dom!#REF!+manip_pt_air_intra!#REF!+manip_pt_air_extra!#REF!</f>
        <v>#REF!</v>
      </c>
      <c r="X7" s="28" t="e">
        <f>manip_pt_pc!#REF!+'manip_pt_b+c'!#REF!+'manip_pt_t+m'!#REF!+manip_pt_rail!#REF!+manip_pt_air_dom!#REF!+manip_pt_air_intra!#REF!+manip_pt_air_extra!#REF!</f>
        <v>#REF!</v>
      </c>
      <c r="Y7" s="28" t="e">
        <f>manip_pt_pc!#REF!+'manip_pt_b+c'!#REF!+'manip_pt_t+m'!#REF!+manip_pt_rail!#REF!+manip_pt_air_dom!#REF!+manip_pt_air_intra!#REF!+manip_pt_air_extra!#REF!</f>
        <v>#REF!</v>
      </c>
      <c r="Z7" s="28" t="e">
        <f>manip_pt_pc!#REF!+'manip_pt_b+c'!#REF!+'manip_pt_t+m'!#REF!+manip_pt_rail!#REF!+manip_pt_air_dom!#REF!+manip_pt_air_intra!#REF!+manip_pt_air_extra!#REF!</f>
        <v>#REF!</v>
      </c>
      <c r="AA7" s="28" t="e">
        <f>manip_pt_pc!#REF!+'manip_pt_b+c'!#REF!+'manip_pt_t+m'!#REF!+manip_pt_rail!#REF!+manip_pt_air_dom!#REF!+manip_pt_air_intra!#REF!+manip_pt_air_extra!#REF!</f>
        <v>#REF!</v>
      </c>
      <c r="AB7" s="28" t="e">
        <f>manip_pt_pc!#REF!+'manip_pt_b+c'!#REF!+'manip_pt_t+m'!#REF!+manip_pt_rail!#REF!+manip_pt_air_dom!#REF!+manip_pt_air_intra!#REF!+manip_pt_air_extra!#REF!</f>
        <v>#REF!</v>
      </c>
      <c r="AC7" s="28" t="e">
        <f>manip_pt_pc!#REF!+'manip_pt_b+c'!#REF!+'manip_pt_t+m'!#REF!+manip_pt_rail!#REF!+manip_pt_air_dom!#REF!+manip_pt_air_intra!#REF!+manip_pt_air_extra!#REF!</f>
        <v>#REF!</v>
      </c>
      <c r="AD7" s="28" t="e">
        <f>manip_pt_pc!#REF!+'manip_pt_b+c'!#REF!+'manip_pt_t+m'!#REF!+manip_pt_rail!#REF!+manip_pt_air_dom!#REF!+manip_pt_air_intra!#REF!+manip_pt_air_extra!#REF!</f>
        <v>#REF!</v>
      </c>
      <c r="AE7" s="28" t="e">
        <f>manip_pt_pc!#REF!+'manip_pt_b+c'!#REF!+'manip_pt_t+m'!#REF!+manip_pt_rail!#REF!+manip_pt_air_dom!#REF!+manip_pt_air_intra!#REF!+manip_pt_air_extra!#REF!</f>
        <v>#REF!</v>
      </c>
      <c r="AF7" s="28" t="e">
        <f>manip_pt_pc!#REF!+'manip_pt_b+c'!#REF!+'manip_pt_t+m'!#REF!+manip_pt_rail!#REF!+manip_pt_air_dom!#REF!+manip_pt_air_intra!#REF!+manip_pt_air_extra!#REF!</f>
        <v>#REF!</v>
      </c>
      <c r="AG7" s="28" t="e">
        <f>manip_pt_pc!#REF!+'manip_pt_b+c'!#REF!+'manip_pt_t+m'!#REF!+manip_pt_rail!#REF!+manip_pt_air_dom!#REF!+manip_pt_air_intra!#REF!+manip_pt_air_extra!#REF!</f>
        <v>#REF!</v>
      </c>
      <c r="AH7" s="28" t="e">
        <f>manip_pt_pc!#REF!+'manip_pt_b+c'!#REF!+'manip_pt_t+m'!#REF!+manip_pt_rail!#REF!+manip_pt_air_dom!#REF!+manip_pt_air_intra!#REF!+manip_pt_air_extra!#REF!</f>
        <v>#REF!</v>
      </c>
      <c r="AI7" s="28" t="e">
        <f>manip_pt_pc!#REF!+'manip_pt_b+c'!#REF!+'manip_pt_t+m'!#REF!+manip_pt_rail!#REF!+manip_pt_air_dom!#REF!+manip_pt_air_intra!#REF!+manip_pt_air_extra!#REF!</f>
        <v>#REF!</v>
      </c>
      <c r="AK7" s="53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U7" s="53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11.25" customHeight="1" hidden="1" outlineLevel="1">
      <c r="A8" s="53">
        <v>1982</v>
      </c>
      <c r="B8" s="28" t="e">
        <f>+manip_pt_mbike!#REF!+manip_pt_pc!#REF!+'manip_pt_b+c'!#REF!+'manip_pt_t+m'!#REF!+manip_pt_rail!#REF!+manip_waterborne_pt!#REF!+manip_pt_air_dom!#REF!+manip_pt_air_intra!#REF!+manip_pt_air_extra!#REF!</f>
        <v>#REF!</v>
      </c>
      <c r="C8" s="28" t="e">
        <f>+manip_pt_mbike!#REF!+manip_pt_pc!#REF!+'manip_pt_b+c'!#REF!+'manip_pt_t+m'!#REF!+manip_pt_rail!#REF!+manip_waterborne_pt!#REF!+manip_pt_air_dom!#REF!+manip_pt_air_intra!#REF!+manip_pt_air_extra!#REF!</f>
        <v>#REF!</v>
      </c>
      <c r="D8" s="28" t="e">
        <f>+manip_pt_mbike!#REF!+manip_pt_pc!#REF!+'manip_pt_b+c'!#REF!+'manip_pt_t+m'!#REF!+manip_pt_rail!#REF!+manip_waterborne_pt!#REF!+manip_pt_air_dom!#REF!+manip_pt_air_intra!#REF!+manip_pt_air_extra!#REF!</f>
        <v>#REF!</v>
      </c>
      <c r="E8" s="28" t="e">
        <f>+manip_pt_mbike!#REF!+manip_pt_pc!#REF!+'manip_pt_b+c'!#REF!+'manip_pt_t+m'!#REF!+manip_pt_rail!#REF!+manip_waterborne_pt!#REF!+manip_pt_air_dom!#REF!+manip_pt_air_intra!#REF!+manip_pt_air_extra!#REF!</f>
        <v>#REF!</v>
      </c>
      <c r="F8" s="28" t="e">
        <f>+manip_pt_mbike!#REF!+manip_pt_pc!#REF!+'manip_pt_b+c'!#REF!+'manip_pt_t+m'!#REF!+manip_pt_rail!#REF!+manip_waterborne_pt!#REF!+manip_pt_air_dom!#REF!+manip_pt_air_intra!#REF!+manip_pt_air_extra!#REF!</f>
        <v>#REF!</v>
      </c>
      <c r="G8" s="28" t="e">
        <f>+manip_pt_mbike!#REF!+manip_pt_pc!#REF!+'manip_pt_b+c'!#REF!+'manip_pt_t+m'!#REF!+manip_pt_rail!#REF!+manip_waterborne_pt!#REF!+manip_pt_air_dom!#REF!+manip_pt_air_intra!#REF!+manip_pt_air_extra!#REF!</f>
        <v>#REF!</v>
      </c>
      <c r="H8" s="28" t="e">
        <f>+manip_pt_mbike!#REF!+manip_pt_pc!#REF!+'manip_pt_b+c'!#REF!+'manip_pt_t+m'!#REF!+manip_pt_rail!#REF!+manip_waterborne_pt!#REF!+manip_pt_air_dom!#REF!+manip_pt_air_intra!#REF!+manip_pt_air_extra!#REF!</f>
        <v>#REF!</v>
      </c>
      <c r="I8" s="28" t="e">
        <f>+manip_pt_mbike!#REF!+manip_pt_pc!#REF!+'manip_pt_b+c'!#REF!+'manip_pt_t+m'!#REF!+manip_pt_rail!#REF!+manip_waterborne_pt!#REF!+manip_pt_air_dom!#REF!+manip_pt_air_intra!#REF!+manip_pt_air_extra!#REF!</f>
        <v>#REF!</v>
      </c>
      <c r="J8" s="28" t="e">
        <f>+manip_pt_mbike!#REF!+manip_pt_pc!#REF!+'manip_pt_b+c'!#REF!+'manip_pt_t+m'!#REF!+manip_pt_rail!#REF!+manip_waterborne_pt!#REF!+manip_pt_air_dom!#REF!+manip_pt_air_intra!#REF!+manip_pt_air_extra!#REF!</f>
        <v>#REF!</v>
      </c>
      <c r="K8" s="28" t="e">
        <f>+manip_pt_mbike!#REF!+manip_pt_pc!#REF!+'manip_pt_b+c'!#REF!+'manip_pt_t+m'!#REF!+manip_pt_rail!#REF!+manip_waterborne_pt!#REF!+manip_pt_air_dom!#REF!+manip_pt_air_intra!#REF!+manip_pt_air_extra!#REF!</f>
        <v>#REF!</v>
      </c>
      <c r="L8" s="28" t="e">
        <f>+manip_pt_mbike!#REF!+manip_pt_pc!#REF!+'manip_pt_b+c'!#REF!+'manip_pt_t+m'!#REF!+manip_pt_rail!#REF!+manip_waterborne_pt!#REF!+manip_pt_air_dom!#REF!+manip_pt_air_intra!#REF!+manip_pt_air_extra!#REF!</f>
        <v>#REF!</v>
      </c>
      <c r="M8" s="28" t="e">
        <f>+manip_pt_mbike!#REF!+manip_pt_pc!#REF!+'manip_pt_b+c'!#REF!+'manip_pt_t+m'!#REF!+manip_pt_rail!#REF!+manip_waterborne_pt!#REF!+manip_pt_air_dom!#REF!+manip_pt_air_intra!#REF!+manip_pt_air_extra!#REF!</f>
        <v>#REF!</v>
      </c>
      <c r="N8" s="28" t="e">
        <f>+manip_pt_mbike!#REF!+manip_pt_pc!#REF!+'manip_pt_b+c'!#REF!+'manip_pt_t+m'!#REF!+manip_pt_rail!#REF!+manip_waterborne_pt!#REF!+manip_pt_air_dom!#REF!+manip_pt_air_intra!#REF!+manip_pt_air_extra!#REF!</f>
        <v>#REF!</v>
      </c>
      <c r="O8" s="28" t="e">
        <f>+manip_pt_mbike!#REF!+manip_pt_pc!#REF!+'manip_pt_b+c'!#REF!+'manip_pt_t+m'!#REF!+manip_pt_rail!#REF!+manip_waterborne_pt!#REF!+manip_pt_air_dom!#REF!+manip_pt_air_intra!#REF!+manip_pt_air_extra!#REF!</f>
        <v>#REF!</v>
      </c>
      <c r="P8" s="28" t="e">
        <f>+manip_pt_mbike!#REF!+manip_pt_pc!#REF!+'manip_pt_b+c'!#REF!+'manip_pt_t+m'!#REF!+manip_pt_rail!#REF!+manip_waterborne_pt!#REF!+manip_pt_air_dom!#REF!+manip_pt_air_intra!#REF!+manip_pt_air_extra!#REF!</f>
        <v>#REF!</v>
      </c>
      <c r="Q8" s="28" t="e">
        <f>+manip_pt_mbike!#REF!+manip_pt_pc!#REF!+'manip_pt_b+c'!#REF!+'manip_pt_t+m'!#REF!+manip_pt_rail!#REF!+manip_waterborne_pt!#REF!+manip_pt_air_dom!#REF!+manip_pt_air_intra!#REF!+manip_pt_air_extra!#REF!</f>
        <v>#REF!</v>
      </c>
      <c r="S8" s="53">
        <v>1982</v>
      </c>
      <c r="T8" s="28" t="e">
        <f>manip_pt_pc!#REF!+'manip_pt_b+c'!#REF!+'manip_pt_t+m'!#REF!+manip_pt_rail!#REF!+manip_pt_air_dom!#REF!+manip_pt_air_intra!#REF!+manip_pt_air_extra!#REF!</f>
        <v>#REF!</v>
      </c>
      <c r="U8" s="28" t="e">
        <f>manip_pt_pc!#REF!+'manip_pt_b+c'!#REF!+'manip_pt_t+m'!#REF!+manip_pt_rail!#REF!+manip_pt_air_dom!#REF!+manip_pt_air_intra!#REF!+manip_pt_air_extra!#REF!</f>
        <v>#REF!</v>
      </c>
      <c r="V8" s="28" t="e">
        <f>manip_pt_pc!#REF!+'manip_pt_b+c'!#REF!+'manip_pt_t+m'!#REF!+manip_pt_rail!#REF!+manip_pt_air_dom!#REF!+manip_pt_air_intra!#REF!+manip_pt_air_extra!#REF!</f>
        <v>#REF!</v>
      </c>
      <c r="W8" s="28" t="e">
        <f>manip_pt_pc!#REF!+'manip_pt_b+c'!#REF!+'manip_pt_t+m'!#REF!+manip_pt_rail!#REF!+manip_pt_air_dom!#REF!+manip_pt_air_intra!#REF!+manip_pt_air_extra!#REF!</f>
        <v>#REF!</v>
      </c>
      <c r="X8" s="28" t="e">
        <f>manip_pt_pc!#REF!+'manip_pt_b+c'!#REF!+'manip_pt_t+m'!#REF!+manip_pt_rail!#REF!+manip_pt_air_dom!#REF!+manip_pt_air_intra!#REF!+manip_pt_air_extra!#REF!</f>
        <v>#REF!</v>
      </c>
      <c r="Y8" s="28" t="e">
        <f>manip_pt_pc!#REF!+'manip_pt_b+c'!#REF!+'manip_pt_t+m'!#REF!+manip_pt_rail!#REF!+manip_pt_air_dom!#REF!+manip_pt_air_intra!#REF!+manip_pt_air_extra!#REF!</f>
        <v>#REF!</v>
      </c>
      <c r="Z8" s="28" t="e">
        <f>manip_pt_pc!#REF!+'manip_pt_b+c'!#REF!+'manip_pt_t+m'!#REF!+manip_pt_rail!#REF!+manip_pt_air_dom!#REF!+manip_pt_air_intra!#REF!+manip_pt_air_extra!#REF!</f>
        <v>#REF!</v>
      </c>
      <c r="AA8" s="28" t="e">
        <f>manip_pt_pc!#REF!+'manip_pt_b+c'!#REF!+'manip_pt_t+m'!#REF!+manip_pt_rail!#REF!+manip_pt_air_dom!#REF!+manip_pt_air_intra!#REF!+manip_pt_air_extra!#REF!</f>
        <v>#REF!</v>
      </c>
      <c r="AB8" s="28" t="e">
        <f>manip_pt_pc!#REF!+'manip_pt_b+c'!#REF!+'manip_pt_t+m'!#REF!+manip_pt_rail!#REF!+manip_pt_air_dom!#REF!+manip_pt_air_intra!#REF!+manip_pt_air_extra!#REF!</f>
        <v>#REF!</v>
      </c>
      <c r="AC8" s="28" t="e">
        <f>manip_pt_pc!#REF!+'manip_pt_b+c'!#REF!+'manip_pt_t+m'!#REF!+manip_pt_rail!#REF!+manip_pt_air_dom!#REF!+manip_pt_air_intra!#REF!+manip_pt_air_extra!#REF!</f>
        <v>#REF!</v>
      </c>
      <c r="AD8" s="28" t="e">
        <f>manip_pt_pc!#REF!+'manip_pt_b+c'!#REF!+'manip_pt_t+m'!#REF!+manip_pt_rail!#REF!+manip_pt_air_dom!#REF!+manip_pt_air_intra!#REF!+manip_pt_air_extra!#REF!</f>
        <v>#REF!</v>
      </c>
      <c r="AE8" s="28" t="e">
        <f>manip_pt_pc!#REF!+'manip_pt_b+c'!#REF!+'manip_pt_t+m'!#REF!+manip_pt_rail!#REF!+manip_pt_air_dom!#REF!+manip_pt_air_intra!#REF!+manip_pt_air_extra!#REF!</f>
        <v>#REF!</v>
      </c>
      <c r="AF8" s="28" t="e">
        <f>manip_pt_pc!#REF!+'manip_pt_b+c'!#REF!+'manip_pt_t+m'!#REF!+manip_pt_rail!#REF!+manip_pt_air_dom!#REF!+manip_pt_air_intra!#REF!+manip_pt_air_extra!#REF!</f>
        <v>#REF!</v>
      </c>
      <c r="AG8" s="28" t="e">
        <f>manip_pt_pc!#REF!+'manip_pt_b+c'!#REF!+'manip_pt_t+m'!#REF!+manip_pt_rail!#REF!+manip_pt_air_dom!#REF!+manip_pt_air_intra!#REF!+manip_pt_air_extra!#REF!</f>
        <v>#REF!</v>
      </c>
      <c r="AH8" s="28" t="e">
        <f>manip_pt_pc!#REF!+'manip_pt_b+c'!#REF!+'manip_pt_t+m'!#REF!+manip_pt_rail!#REF!+manip_pt_air_dom!#REF!+manip_pt_air_intra!#REF!+manip_pt_air_extra!#REF!</f>
        <v>#REF!</v>
      </c>
      <c r="AI8" s="28" t="e">
        <f>manip_pt_pc!#REF!+'manip_pt_b+c'!#REF!+'manip_pt_t+m'!#REF!+manip_pt_rail!#REF!+manip_pt_air_dom!#REF!+manip_pt_air_intra!#REF!+manip_pt_air_extra!#REF!</f>
        <v>#REF!</v>
      </c>
      <c r="AK8" s="53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U8" s="53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</row>
    <row r="9" spans="1:89" ht="11.25" customHeight="1" hidden="1" outlineLevel="1">
      <c r="A9" s="53">
        <v>1983</v>
      </c>
      <c r="B9" s="28" t="e">
        <f>+manip_pt_mbike!B8+manip_pt_pc!#REF!+'manip_pt_b+c'!#REF!+'manip_pt_t+m'!#REF!+manip_pt_rail!#REF!+manip_waterborne_pt!#REF!+manip_pt_air_dom!#REF!+manip_pt_air_intra!#REF!+manip_pt_air_extra!#REF!</f>
        <v>#REF!</v>
      </c>
      <c r="C9" s="28" t="e">
        <f>+manip_pt_mbike!C8+manip_pt_pc!#REF!+'manip_pt_b+c'!#REF!+'manip_pt_t+m'!#REF!+manip_pt_rail!#REF!+manip_waterborne_pt!#REF!+manip_pt_air_dom!#REF!+manip_pt_air_intra!#REF!+manip_pt_air_extra!#REF!</f>
        <v>#REF!</v>
      </c>
      <c r="D9" s="28" t="e">
        <f>+manip_pt_mbike!D8+manip_pt_pc!#REF!+'manip_pt_b+c'!#REF!+'manip_pt_t+m'!#REF!+manip_pt_rail!#REF!+manip_waterborne_pt!#REF!+manip_pt_air_dom!#REF!+manip_pt_air_intra!#REF!+manip_pt_air_extra!#REF!</f>
        <v>#REF!</v>
      </c>
      <c r="E9" s="28" t="e">
        <f>+manip_pt_mbike!E8+manip_pt_pc!#REF!+'manip_pt_b+c'!#REF!+'manip_pt_t+m'!#REF!+manip_pt_rail!#REF!+manip_waterborne_pt!#REF!+manip_pt_air_dom!#REF!+manip_pt_air_intra!#REF!+manip_pt_air_extra!#REF!</f>
        <v>#REF!</v>
      </c>
      <c r="F9" s="28" t="e">
        <f>+manip_pt_mbike!F8+manip_pt_pc!#REF!+'manip_pt_b+c'!#REF!+'manip_pt_t+m'!#REF!+manip_pt_rail!#REF!+manip_waterborne_pt!#REF!+manip_pt_air_dom!#REF!+manip_pt_air_intra!#REF!+manip_pt_air_extra!#REF!</f>
        <v>#REF!</v>
      </c>
      <c r="G9" s="28" t="e">
        <f>+manip_pt_mbike!G8+manip_pt_pc!#REF!+'manip_pt_b+c'!#REF!+'manip_pt_t+m'!#REF!+manip_pt_rail!#REF!+manip_waterborne_pt!#REF!+manip_pt_air_dom!#REF!+manip_pt_air_intra!#REF!+manip_pt_air_extra!#REF!</f>
        <v>#REF!</v>
      </c>
      <c r="H9" s="28" t="e">
        <f>+manip_pt_mbike!H8+manip_pt_pc!#REF!+'manip_pt_b+c'!#REF!+'manip_pt_t+m'!#REF!+manip_pt_rail!#REF!+manip_waterborne_pt!#REF!+manip_pt_air_dom!#REF!+manip_pt_air_intra!#REF!+manip_pt_air_extra!#REF!</f>
        <v>#REF!</v>
      </c>
      <c r="I9" s="28" t="e">
        <f>+manip_pt_mbike!I8+manip_pt_pc!#REF!+'manip_pt_b+c'!#REF!+'manip_pt_t+m'!#REF!+manip_pt_rail!#REF!+manip_waterborne_pt!#REF!+manip_pt_air_dom!#REF!+manip_pt_air_intra!#REF!+manip_pt_air_extra!#REF!</f>
        <v>#REF!</v>
      </c>
      <c r="J9" s="28" t="e">
        <f>+manip_pt_mbike!J8+manip_pt_pc!#REF!+'manip_pt_b+c'!#REF!+'manip_pt_t+m'!#REF!+manip_pt_rail!#REF!+manip_waterborne_pt!#REF!+manip_pt_air_dom!#REF!+manip_pt_air_intra!#REF!+manip_pt_air_extra!#REF!</f>
        <v>#REF!</v>
      </c>
      <c r="K9" s="28" t="e">
        <f>+manip_pt_mbike!K8+manip_pt_pc!#REF!+'manip_pt_b+c'!#REF!+'manip_pt_t+m'!#REF!+manip_pt_rail!#REF!+manip_waterborne_pt!#REF!+manip_pt_air_dom!#REF!+manip_pt_air_intra!#REF!+manip_pt_air_extra!#REF!</f>
        <v>#REF!</v>
      </c>
      <c r="L9" s="28" t="e">
        <f>+manip_pt_mbike!L8+manip_pt_pc!#REF!+'manip_pt_b+c'!#REF!+'manip_pt_t+m'!#REF!+manip_pt_rail!#REF!+manip_waterborne_pt!#REF!+manip_pt_air_dom!#REF!+manip_pt_air_intra!#REF!+manip_pt_air_extra!#REF!</f>
        <v>#REF!</v>
      </c>
      <c r="M9" s="28" t="e">
        <f>+manip_pt_mbike!M8+manip_pt_pc!#REF!+'manip_pt_b+c'!#REF!+'manip_pt_t+m'!#REF!+manip_pt_rail!#REF!+manip_waterborne_pt!#REF!+manip_pt_air_dom!#REF!+manip_pt_air_intra!#REF!+manip_pt_air_extra!#REF!</f>
        <v>#REF!</v>
      </c>
      <c r="N9" s="28" t="e">
        <f>+manip_pt_mbike!N8+manip_pt_pc!#REF!+'manip_pt_b+c'!#REF!+'manip_pt_t+m'!#REF!+manip_pt_rail!#REF!+manip_waterborne_pt!#REF!+manip_pt_air_dom!#REF!+manip_pt_air_intra!#REF!+manip_pt_air_extra!#REF!</f>
        <v>#REF!</v>
      </c>
      <c r="O9" s="28" t="e">
        <f>+manip_pt_mbike!O8+manip_pt_pc!#REF!+'manip_pt_b+c'!#REF!+'manip_pt_t+m'!#REF!+manip_pt_rail!#REF!+manip_waterborne_pt!#REF!+manip_pt_air_dom!#REF!+manip_pt_air_intra!#REF!+manip_pt_air_extra!#REF!</f>
        <v>#REF!</v>
      </c>
      <c r="P9" s="28" t="e">
        <f>+manip_pt_mbike!P8+manip_pt_pc!#REF!+'manip_pt_b+c'!#REF!+'manip_pt_t+m'!#REF!+manip_pt_rail!#REF!+manip_waterborne_pt!#REF!+manip_pt_air_dom!#REF!+manip_pt_air_intra!#REF!+manip_pt_air_extra!#REF!</f>
        <v>#REF!</v>
      </c>
      <c r="Q9" s="28" t="e">
        <f>+manip_pt_mbike!Q8+manip_pt_pc!#REF!+'manip_pt_b+c'!#REF!+'manip_pt_t+m'!#REF!+manip_pt_rail!#REF!+manip_waterborne_pt!#REF!+manip_pt_air_dom!#REF!+manip_pt_air_intra!#REF!+manip_pt_air_extra!#REF!</f>
        <v>#REF!</v>
      </c>
      <c r="S9" s="53">
        <v>1983</v>
      </c>
      <c r="T9" s="28" t="e">
        <f>manip_pt_pc!#REF!+'manip_pt_b+c'!#REF!+'manip_pt_t+m'!#REF!+manip_pt_rail!#REF!+manip_pt_air_dom!#REF!+manip_pt_air_intra!#REF!+manip_pt_air_extra!#REF!</f>
        <v>#REF!</v>
      </c>
      <c r="U9" s="28" t="e">
        <f>manip_pt_pc!#REF!+'manip_pt_b+c'!#REF!+'manip_pt_t+m'!#REF!+manip_pt_rail!#REF!+manip_pt_air_dom!#REF!+manip_pt_air_intra!#REF!+manip_pt_air_extra!#REF!</f>
        <v>#REF!</v>
      </c>
      <c r="V9" s="28" t="e">
        <f>manip_pt_pc!#REF!+'manip_pt_b+c'!#REF!+'manip_pt_t+m'!#REF!+manip_pt_rail!#REF!+manip_pt_air_dom!#REF!+manip_pt_air_intra!#REF!+manip_pt_air_extra!#REF!</f>
        <v>#REF!</v>
      </c>
      <c r="W9" s="28" t="e">
        <f>manip_pt_pc!#REF!+'manip_pt_b+c'!#REF!+'manip_pt_t+m'!#REF!+manip_pt_rail!#REF!+manip_pt_air_dom!#REF!+manip_pt_air_intra!#REF!+manip_pt_air_extra!#REF!</f>
        <v>#REF!</v>
      </c>
      <c r="X9" s="28" t="e">
        <f>manip_pt_pc!#REF!+'manip_pt_b+c'!#REF!+'manip_pt_t+m'!#REF!+manip_pt_rail!#REF!+manip_pt_air_dom!#REF!+manip_pt_air_intra!#REF!+manip_pt_air_extra!#REF!</f>
        <v>#REF!</v>
      </c>
      <c r="Y9" s="28" t="e">
        <f>manip_pt_pc!#REF!+'manip_pt_b+c'!#REF!+'manip_pt_t+m'!#REF!+manip_pt_rail!#REF!+manip_pt_air_dom!#REF!+manip_pt_air_intra!#REF!+manip_pt_air_extra!#REF!</f>
        <v>#REF!</v>
      </c>
      <c r="Z9" s="28" t="e">
        <f>manip_pt_pc!#REF!+'manip_pt_b+c'!#REF!+'manip_pt_t+m'!#REF!+manip_pt_rail!#REF!+manip_pt_air_dom!#REF!+manip_pt_air_intra!#REF!+manip_pt_air_extra!#REF!</f>
        <v>#REF!</v>
      </c>
      <c r="AA9" s="28" t="e">
        <f>manip_pt_pc!#REF!+'manip_pt_b+c'!#REF!+'manip_pt_t+m'!#REF!+manip_pt_rail!#REF!+manip_pt_air_dom!#REF!+manip_pt_air_intra!#REF!+manip_pt_air_extra!#REF!</f>
        <v>#REF!</v>
      </c>
      <c r="AB9" s="28" t="e">
        <f>manip_pt_pc!#REF!+'manip_pt_b+c'!#REF!+'manip_pt_t+m'!#REF!+manip_pt_rail!#REF!+manip_pt_air_dom!#REF!+manip_pt_air_intra!#REF!+manip_pt_air_extra!#REF!</f>
        <v>#REF!</v>
      </c>
      <c r="AC9" s="28" t="e">
        <f>manip_pt_pc!#REF!+'manip_pt_b+c'!#REF!+'manip_pt_t+m'!#REF!+manip_pt_rail!#REF!+manip_pt_air_dom!#REF!+manip_pt_air_intra!#REF!+manip_pt_air_extra!#REF!</f>
        <v>#REF!</v>
      </c>
      <c r="AD9" s="28" t="e">
        <f>manip_pt_pc!#REF!+'manip_pt_b+c'!#REF!+'manip_pt_t+m'!#REF!+manip_pt_rail!#REF!+manip_pt_air_dom!#REF!+manip_pt_air_intra!#REF!+manip_pt_air_extra!#REF!</f>
        <v>#REF!</v>
      </c>
      <c r="AE9" s="28" t="e">
        <f>manip_pt_pc!#REF!+'manip_pt_b+c'!#REF!+'manip_pt_t+m'!#REF!+manip_pt_rail!#REF!+manip_pt_air_dom!#REF!+manip_pt_air_intra!#REF!+manip_pt_air_extra!#REF!</f>
        <v>#REF!</v>
      </c>
      <c r="AF9" s="28" t="e">
        <f>manip_pt_pc!#REF!+'manip_pt_b+c'!#REF!+'manip_pt_t+m'!#REF!+manip_pt_rail!#REF!+manip_pt_air_dom!#REF!+manip_pt_air_intra!#REF!+manip_pt_air_extra!#REF!</f>
        <v>#REF!</v>
      </c>
      <c r="AG9" s="28" t="e">
        <f>manip_pt_pc!#REF!+'manip_pt_b+c'!#REF!+'manip_pt_t+m'!#REF!+manip_pt_rail!#REF!+manip_pt_air_dom!#REF!+manip_pt_air_intra!#REF!+manip_pt_air_extra!#REF!</f>
        <v>#REF!</v>
      </c>
      <c r="AH9" s="28" t="e">
        <f>manip_pt_pc!#REF!+'manip_pt_b+c'!#REF!+'manip_pt_t+m'!#REF!+manip_pt_rail!#REF!+manip_pt_air_dom!#REF!+manip_pt_air_intra!#REF!+manip_pt_air_extra!#REF!</f>
        <v>#REF!</v>
      </c>
      <c r="AI9" s="28" t="e">
        <f>manip_pt_pc!#REF!+'manip_pt_b+c'!#REF!+'manip_pt_t+m'!#REF!+manip_pt_rail!#REF!+manip_pt_air_dom!#REF!+manip_pt_air_intra!#REF!+manip_pt_air_extra!#REF!</f>
        <v>#REF!</v>
      </c>
      <c r="AK9" s="53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U9" s="53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</row>
    <row r="10" spans="1:89" ht="11.25" customHeight="1" hidden="1" outlineLevel="1">
      <c r="A10" s="53">
        <v>1984</v>
      </c>
      <c r="B10" s="28" t="e">
        <f>+manip_pt_mbike!B9+manip_pt_pc!#REF!+'manip_pt_b+c'!#REF!+'manip_pt_t+m'!#REF!+manip_pt_rail!#REF!+manip_waterborne_pt!#REF!+manip_pt_air_dom!#REF!+manip_pt_air_intra!#REF!+manip_pt_air_extra!#REF!</f>
        <v>#REF!</v>
      </c>
      <c r="C10" s="28" t="e">
        <f>+manip_pt_mbike!C9+manip_pt_pc!#REF!+'manip_pt_b+c'!#REF!+'manip_pt_t+m'!#REF!+manip_pt_rail!#REF!+manip_waterborne_pt!#REF!+manip_pt_air_dom!#REF!+manip_pt_air_intra!#REF!+manip_pt_air_extra!#REF!</f>
        <v>#REF!</v>
      </c>
      <c r="D10" s="28" t="e">
        <f>+manip_pt_mbike!D9+manip_pt_pc!#REF!+'manip_pt_b+c'!#REF!+'manip_pt_t+m'!#REF!+manip_pt_rail!#REF!+manip_waterborne_pt!#REF!+manip_pt_air_dom!#REF!+manip_pt_air_intra!#REF!+manip_pt_air_extra!#REF!</f>
        <v>#REF!</v>
      </c>
      <c r="E10" s="28" t="e">
        <f>+manip_pt_mbike!E9+manip_pt_pc!#REF!+'manip_pt_b+c'!#REF!+'manip_pt_t+m'!#REF!+manip_pt_rail!#REF!+manip_waterborne_pt!#REF!+manip_pt_air_dom!#REF!+manip_pt_air_intra!#REF!+manip_pt_air_extra!#REF!</f>
        <v>#REF!</v>
      </c>
      <c r="F10" s="28" t="e">
        <f>+manip_pt_mbike!F9+manip_pt_pc!#REF!+'manip_pt_b+c'!#REF!+'manip_pt_t+m'!#REF!+manip_pt_rail!#REF!+manip_waterborne_pt!#REF!+manip_pt_air_dom!#REF!+manip_pt_air_intra!#REF!+manip_pt_air_extra!#REF!</f>
        <v>#REF!</v>
      </c>
      <c r="G10" s="28" t="e">
        <f>+manip_pt_mbike!G9+manip_pt_pc!#REF!+'manip_pt_b+c'!#REF!+'manip_pt_t+m'!#REF!+manip_pt_rail!#REF!+manip_waterborne_pt!#REF!+manip_pt_air_dom!#REF!+manip_pt_air_intra!#REF!+manip_pt_air_extra!#REF!</f>
        <v>#REF!</v>
      </c>
      <c r="H10" s="28" t="e">
        <f>+manip_pt_mbike!H9+manip_pt_pc!#REF!+'manip_pt_b+c'!#REF!+'manip_pt_t+m'!#REF!+manip_pt_rail!#REF!+manip_waterborne_pt!#REF!+manip_pt_air_dom!#REF!+manip_pt_air_intra!#REF!+manip_pt_air_extra!#REF!</f>
        <v>#REF!</v>
      </c>
      <c r="I10" s="28" t="e">
        <f>+manip_pt_mbike!I9+manip_pt_pc!#REF!+'manip_pt_b+c'!#REF!+'manip_pt_t+m'!#REF!+manip_pt_rail!#REF!+manip_waterborne_pt!#REF!+manip_pt_air_dom!#REF!+manip_pt_air_intra!#REF!+manip_pt_air_extra!#REF!</f>
        <v>#REF!</v>
      </c>
      <c r="J10" s="28" t="e">
        <f>+manip_pt_mbike!J9+manip_pt_pc!#REF!+'manip_pt_b+c'!#REF!+'manip_pt_t+m'!#REF!+manip_pt_rail!#REF!+manip_waterborne_pt!#REF!+manip_pt_air_dom!#REF!+manip_pt_air_intra!#REF!+manip_pt_air_extra!#REF!</f>
        <v>#REF!</v>
      </c>
      <c r="K10" s="28" t="e">
        <f>+manip_pt_mbike!K9+manip_pt_pc!#REF!+'manip_pt_b+c'!#REF!+'manip_pt_t+m'!#REF!+manip_pt_rail!#REF!+manip_waterborne_pt!#REF!+manip_pt_air_dom!#REF!+manip_pt_air_intra!#REF!+manip_pt_air_extra!#REF!</f>
        <v>#REF!</v>
      </c>
      <c r="L10" s="28" t="e">
        <f>+manip_pt_mbike!L9+manip_pt_pc!#REF!+'manip_pt_b+c'!#REF!+'manip_pt_t+m'!#REF!+manip_pt_rail!#REF!+manip_waterborne_pt!#REF!+manip_pt_air_dom!#REF!+manip_pt_air_intra!#REF!+manip_pt_air_extra!#REF!</f>
        <v>#REF!</v>
      </c>
      <c r="M10" s="28" t="e">
        <f>+manip_pt_mbike!M9+manip_pt_pc!#REF!+'manip_pt_b+c'!#REF!+'manip_pt_t+m'!#REF!+manip_pt_rail!#REF!+manip_waterborne_pt!#REF!+manip_pt_air_dom!#REF!+manip_pt_air_intra!#REF!+manip_pt_air_extra!#REF!</f>
        <v>#REF!</v>
      </c>
      <c r="N10" s="28" t="e">
        <f>+manip_pt_mbike!N9+manip_pt_pc!#REF!+'manip_pt_b+c'!#REF!+'manip_pt_t+m'!#REF!+manip_pt_rail!#REF!+manip_waterborne_pt!#REF!+manip_pt_air_dom!#REF!+manip_pt_air_intra!#REF!+manip_pt_air_extra!#REF!</f>
        <v>#REF!</v>
      </c>
      <c r="O10" s="28" t="e">
        <f>+manip_pt_mbike!O9+manip_pt_pc!#REF!+'manip_pt_b+c'!#REF!+'manip_pt_t+m'!#REF!+manip_pt_rail!#REF!+manip_waterborne_pt!#REF!+manip_pt_air_dom!#REF!+manip_pt_air_intra!#REF!+manip_pt_air_extra!#REF!</f>
        <v>#REF!</v>
      </c>
      <c r="P10" s="28" t="e">
        <f>+manip_pt_mbike!P9+manip_pt_pc!#REF!+'manip_pt_b+c'!#REF!+'manip_pt_t+m'!#REF!+manip_pt_rail!#REF!+manip_waterborne_pt!#REF!+manip_pt_air_dom!#REF!+manip_pt_air_intra!#REF!+manip_pt_air_extra!#REF!</f>
        <v>#REF!</v>
      </c>
      <c r="Q10" s="28" t="e">
        <f>+manip_pt_mbike!Q9+manip_pt_pc!#REF!+'manip_pt_b+c'!#REF!+'manip_pt_t+m'!#REF!+manip_pt_rail!#REF!+manip_waterborne_pt!#REF!+manip_pt_air_dom!#REF!+manip_pt_air_intra!#REF!+manip_pt_air_extra!#REF!</f>
        <v>#REF!</v>
      </c>
      <c r="S10" s="53">
        <v>1984</v>
      </c>
      <c r="T10" s="28" t="e">
        <f>manip_pt_pc!#REF!+'manip_pt_b+c'!#REF!+'manip_pt_t+m'!#REF!+manip_pt_rail!#REF!+manip_pt_air_dom!#REF!+manip_pt_air_intra!#REF!+manip_pt_air_extra!#REF!</f>
        <v>#REF!</v>
      </c>
      <c r="U10" s="28" t="e">
        <f>manip_pt_pc!#REF!+'manip_pt_b+c'!#REF!+'manip_pt_t+m'!#REF!+manip_pt_rail!#REF!+manip_pt_air_dom!#REF!+manip_pt_air_intra!#REF!+manip_pt_air_extra!#REF!</f>
        <v>#REF!</v>
      </c>
      <c r="V10" s="28" t="e">
        <f>manip_pt_pc!#REF!+'manip_pt_b+c'!#REF!+'manip_pt_t+m'!#REF!+manip_pt_rail!#REF!+manip_pt_air_dom!#REF!+manip_pt_air_intra!#REF!+manip_pt_air_extra!#REF!</f>
        <v>#REF!</v>
      </c>
      <c r="W10" s="28" t="e">
        <f>manip_pt_pc!#REF!+'manip_pt_b+c'!#REF!+'manip_pt_t+m'!#REF!+manip_pt_rail!#REF!+manip_pt_air_dom!#REF!+manip_pt_air_intra!#REF!+manip_pt_air_extra!#REF!</f>
        <v>#REF!</v>
      </c>
      <c r="X10" s="28" t="e">
        <f>manip_pt_pc!#REF!+'manip_pt_b+c'!#REF!+'manip_pt_t+m'!#REF!+manip_pt_rail!#REF!+manip_pt_air_dom!#REF!+manip_pt_air_intra!#REF!+manip_pt_air_extra!#REF!</f>
        <v>#REF!</v>
      </c>
      <c r="Y10" s="28" t="e">
        <f>manip_pt_pc!#REF!+'manip_pt_b+c'!#REF!+'manip_pt_t+m'!#REF!+manip_pt_rail!#REF!+manip_pt_air_dom!#REF!+manip_pt_air_intra!#REF!+manip_pt_air_extra!#REF!</f>
        <v>#REF!</v>
      </c>
      <c r="Z10" s="28" t="e">
        <f>manip_pt_pc!#REF!+'manip_pt_b+c'!#REF!+'manip_pt_t+m'!#REF!+manip_pt_rail!#REF!+manip_pt_air_dom!#REF!+manip_pt_air_intra!#REF!+manip_pt_air_extra!#REF!</f>
        <v>#REF!</v>
      </c>
      <c r="AA10" s="28" t="e">
        <f>manip_pt_pc!#REF!+'manip_pt_b+c'!#REF!+'manip_pt_t+m'!#REF!+manip_pt_rail!#REF!+manip_pt_air_dom!#REF!+manip_pt_air_intra!#REF!+manip_pt_air_extra!#REF!</f>
        <v>#REF!</v>
      </c>
      <c r="AB10" s="28" t="e">
        <f>manip_pt_pc!#REF!+'manip_pt_b+c'!#REF!+'manip_pt_t+m'!#REF!+manip_pt_rail!#REF!+manip_pt_air_dom!#REF!+manip_pt_air_intra!#REF!+manip_pt_air_extra!#REF!</f>
        <v>#REF!</v>
      </c>
      <c r="AC10" s="28" t="e">
        <f>manip_pt_pc!#REF!+'manip_pt_b+c'!#REF!+'manip_pt_t+m'!#REF!+manip_pt_rail!#REF!+manip_pt_air_dom!#REF!+manip_pt_air_intra!#REF!+manip_pt_air_extra!#REF!</f>
        <v>#REF!</v>
      </c>
      <c r="AD10" s="28" t="e">
        <f>manip_pt_pc!#REF!+'manip_pt_b+c'!#REF!+'manip_pt_t+m'!#REF!+manip_pt_rail!#REF!+manip_pt_air_dom!#REF!+manip_pt_air_intra!#REF!+manip_pt_air_extra!#REF!</f>
        <v>#REF!</v>
      </c>
      <c r="AE10" s="28" t="e">
        <f>manip_pt_pc!#REF!+'manip_pt_b+c'!#REF!+'manip_pt_t+m'!#REF!+manip_pt_rail!#REF!+manip_pt_air_dom!#REF!+manip_pt_air_intra!#REF!+manip_pt_air_extra!#REF!</f>
        <v>#REF!</v>
      </c>
      <c r="AF10" s="28" t="e">
        <f>manip_pt_pc!#REF!+'manip_pt_b+c'!#REF!+'manip_pt_t+m'!#REF!+manip_pt_rail!#REF!+manip_pt_air_dom!#REF!+manip_pt_air_intra!#REF!+manip_pt_air_extra!#REF!</f>
        <v>#REF!</v>
      </c>
      <c r="AG10" s="28" t="e">
        <f>manip_pt_pc!#REF!+'manip_pt_b+c'!#REF!+'manip_pt_t+m'!#REF!+manip_pt_rail!#REF!+manip_pt_air_dom!#REF!+manip_pt_air_intra!#REF!+manip_pt_air_extra!#REF!</f>
        <v>#REF!</v>
      </c>
      <c r="AH10" s="28" t="e">
        <f>manip_pt_pc!#REF!+'manip_pt_b+c'!#REF!+'manip_pt_t+m'!#REF!+manip_pt_rail!#REF!+manip_pt_air_dom!#REF!+manip_pt_air_intra!#REF!+manip_pt_air_extra!#REF!</f>
        <v>#REF!</v>
      </c>
      <c r="AI10" s="28" t="e">
        <f>manip_pt_pc!#REF!+'manip_pt_b+c'!#REF!+'manip_pt_t+m'!#REF!+manip_pt_rail!#REF!+manip_pt_air_dom!#REF!+manip_pt_air_intra!#REF!+manip_pt_air_extra!#REF!</f>
        <v>#REF!</v>
      </c>
      <c r="AK10" s="53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U10" s="53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</row>
    <row r="11" spans="1:89" ht="11.25" customHeight="1" hidden="1" outlineLevel="1">
      <c r="A11" s="53">
        <v>1985</v>
      </c>
      <c r="B11" s="28" t="e">
        <f>+manip_pt_mbike!B10+manip_pt_pc!#REF!+'manip_pt_b+c'!#REF!+'manip_pt_t+m'!#REF!+manip_pt_rail!#REF!+manip_waterborne_pt!#REF!+manip_pt_air_dom!#REF!+manip_pt_air_intra!#REF!+manip_pt_air_extra!#REF!</f>
        <v>#REF!</v>
      </c>
      <c r="C11" s="28" t="e">
        <f>+manip_pt_mbike!C10+manip_pt_pc!#REF!+'manip_pt_b+c'!#REF!+'manip_pt_t+m'!#REF!+manip_pt_rail!#REF!+manip_waterborne_pt!#REF!+manip_pt_air_dom!#REF!+manip_pt_air_intra!#REF!+manip_pt_air_extra!#REF!</f>
        <v>#REF!</v>
      </c>
      <c r="D11" s="28" t="e">
        <f>+manip_pt_mbike!D10+manip_pt_pc!#REF!+'manip_pt_b+c'!#REF!+'manip_pt_t+m'!#REF!+manip_pt_rail!#REF!+manip_waterborne_pt!#REF!+manip_pt_air_dom!#REF!+manip_pt_air_intra!#REF!+manip_pt_air_extra!#REF!</f>
        <v>#REF!</v>
      </c>
      <c r="E11" s="28" t="e">
        <f>+manip_pt_mbike!E10+manip_pt_pc!#REF!+'manip_pt_b+c'!#REF!+'manip_pt_t+m'!#REF!+manip_pt_rail!#REF!+manip_waterborne_pt!#REF!+manip_pt_air_dom!#REF!+manip_pt_air_intra!#REF!+manip_pt_air_extra!#REF!</f>
        <v>#REF!</v>
      </c>
      <c r="F11" s="28" t="e">
        <f>+manip_pt_mbike!F10+manip_pt_pc!#REF!+'manip_pt_b+c'!#REF!+'manip_pt_t+m'!#REF!+manip_pt_rail!#REF!+manip_waterborne_pt!#REF!+manip_pt_air_dom!#REF!+manip_pt_air_intra!#REF!+manip_pt_air_extra!#REF!</f>
        <v>#REF!</v>
      </c>
      <c r="G11" s="28" t="e">
        <f>+manip_pt_mbike!G10+manip_pt_pc!#REF!+'manip_pt_b+c'!#REF!+'manip_pt_t+m'!#REF!+manip_pt_rail!#REF!+manip_waterborne_pt!#REF!+manip_pt_air_dom!#REF!+manip_pt_air_intra!#REF!+manip_pt_air_extra!#REF!</f>
        <v>#REF!</v>
      </c>
      <c r="H11" s="28" t="e">
        <f>+manip_pt_mbike!H10+manip_pt_pc!#REF!+'manip_pt_b+c'!#REF!+'manip_pt_t+m'!#REF!+manip_pt_rail!#REF!+manip_waterborne_pt!#REF!+manip_pt_air_dom!#REF!+manip_pt_air_intra!#REF!+manip_pt_air_extra!#REF!</f>
        <v>#REF!</v>
      </c>
      <c r="I11" s="28" t="e">
        <f>+manip_pt_mbike!I10+manip_pt_pc!#REF!+'manip_pt_b+c'!#REF!+'manip_pt_t+m'!#REF!+manip_pt_rail!#REF!+manip_waterborne_pt!#REF!+manip_pt_air_dom!#REF!+manip_pt_air_intra!#REF!+manip_pt_air_extra!#REF!</f>
        <v>#REF!</v>
      </c>
      <c r="J11" s="28" t="e">
        <f>+manip_pt_mbike!J10+manip_pt_pc!#REF!+'manip_pt_b+c'!#REF!+'manip_pt_t+m'!#REF!+manip_pt_rail!#REF!+manip_waterborne_pt!#REF!+manip_pt_air_dom!#REF!+manip_pt_air_intra!#REF!+manip_pt_air_extra!#REF!</f>
        <v>#REF!</v>
      </c>
      <c r="K11" s="28" t="e">
        <f>+manip_pt_mbike!K10+manip_pt_pc!#REF!+'manip_pt_b+c'!#REF!+'manip_pt_t+m'!#REF!+manip_pt_rail!#REF!+manip_waterborne_pt!#REF!+manip_pt_air_dom!#REF!+manip_pt_air_intra!#REF!+manip_pt_air_extra!#REF!</f>
        <v>#REF!</v>
      </c>
      <c r="L11" s="28" t="e">
        <f>+manip_pt_mbike!L10+manip_pt_pc!#REF!+'manip_pt_b+c'!#REF!+'manip_pt_t+m'!#REF!+manip_pt_rail!#REF!+manip_waterborne_pt!#REF!+manip_pt_air_dom!#REF!+manip_pt_air_intra!#REF!+manip_pt_air_extra!#REF!</f>
        <v>#REF!</v>
      </c>
      <c r="M11" s="28" t="e">
        <f>+manip_pt_mbike!M10+manip_pt_pc!#REF!+'manip_pt_b+c'!#REF!+'manip_pt_t+m'!#REF!+manip_pt_rail!#REF!+manip_waterborne_pt!#REF!+manip_pt_air_dom!#REF!+manip_pt_air_intra!#REF!+manip_pt_air_extra!#REF!</f>
        <v>#REF!</v>
      </c>
      <c r="N11" s="28" t="e">
        <f>+manip_pt_mbike!N10+manip_pt_pc!#REF!+'manip_pt_b+c'!#REF!+'manip_pt_t+m'!#REF!+manip_pt_rail!#REF!+manip_waterborne_pt!#REF!+manip_pt_air_dom!#REF!+manip_pt_air_intra!#REF!+manip_pt_air_extra!#REF!</f>
        <v>#REF!</v>
      </c>
      <c r="O11" s="28" t="e">
        <f>+manip_pt_mbike!O10+manip_pt_pc!#REF!+'manip_pt_b+c'!#REF!+'manip_pt_t+m'!#REF!+manip_pt_rail!#REF!+manip_waterborne_pt!#REF!+manip_pt_air_dom!#REF!+manip_pt_air_intra!#REF!+manip_pt_air_extra!#REF!</f>
        <v>#REF!</v>
      </c>
      <c r="P11" s="28" t="e">
        <f>+manip_pt_mbike!P10+manip_pt_pc!#REF!+'manip_pt_b+c'!#REF!+'manip_pt_t+m'!#REF!+manip_pt_rail!#REF!+manip_waterborne_pt!#REF!+manip_pt_air_dom!#REF!+manip_pt_air_intra!#REF!+manip_pt_air_extra!#REF!</f>
        <v>#REF!</v>
      </c>
      <c r="Q11" s="28" t="e">
        <f>+manip_pt_mbike!Q10+manip_pt_pc!#REF!+'manip_pt_b+c'!#REF!+'manip_pt_t+m'!#REF!+manip_pt_rail!#REF!+manip_waterborne_pt!#REF!+manip_pt_air_dom!#REF!+manip_pt_air_intra!#REF!+manip_pt_air_extra!#REF!</f>
        <v>#REF!</v>
      </c>
      <c r="S11" s="53">
        <v>1985</v>
      </c>
      <c r="T11" s="28" t="e">
        <f>manip_pt_pc!#REF!+'manip_pt_b+c'!#REF!+'manip_pt_t+m'!#REF!+manip_pt_rail!#REF!+manip_pt_air_dom!#REF!+manip_pt_air_intra!#REF!+manip_pt_air_extra!#REF!</f>
        <v>#REF!</v>
      </c>
      <c r="U11" s="28" t="e">
        <f>manip_pt_pc!#REF!+'manip_pt_b+c'!#REF!+'manip_pt_t+m'!#REF!+manip_pt_rail!#REF!+manip_pt_air_dom!#REF!+manip_pt_air_intra!#REF!+manip_pt_air_extra!#REF!</f>
        <v>#REF!</v>
      </c>
      <c r="V11" s="28" t="e">
        <f>manip_pt_pc!#REF!+'manip_pt_b+c'!#REF!+'manip_pt_t+m'!#REF!+manip_pt_rail!#REF!+manip_pt_air_dom!#REF!+manip_pt_air_intra!#REF!+manip_pt_air_extra!#REF!</f>
        <v>#REF!</v>
      </c>
      <c r="W11" s="28" t="e">
        <f>manip_pt_pc!#REF!+'manip_pt_b+c'!#REF!+'manip_pt_t+m'!#REF!+manip_pt_rail!#REF!+manip_pt_air_dom!#REF!+manip_pt_air_intra!#REF!+manip_pt_air_extra!#REF!</f>
        <v>#REF!</v>
      </c>
      <c r="X11" s="28" t="e">
        <f>manip_pt_pc!#REF!+'manip_pt_b+c'!#REF!+'manip_pt_t+m'!#REF!+manip_pt_rail!#REF!+manip_pt_air_dom!#REF!+manip_pt_air_intra!#REF!+manip_pt_air_extra!#REF!</f>
        <v>#REF!</v>
      </c>
      <c r="Y11" s="28" t="e">
        <f>manip_pt_pc!#REF!+'manip_pt_b+c'!#REF!+'manip_pt_t+m'!#REF!+manip_pt_rail!#REF!+manip_pt_air_dom!#REF!+manip_pt_air_intra!#REF!+manip_pt_air_extra!#REF!</f>
        <v>#REF!</v>
      </c>
      <c r="Z11" s="28" t="e">
        <f>manip_pt_pc!#REF!+'manip_pt_b+c'!#REF!+'manip_pt_t+m'!#REF!+manip_pt_rail!#REF!+manip_pt_air_dom!#REF!+manip_pt_air_intra!#REF!+manip_pt_air_extra!#REF!</f>
        <v>#REF!</v>
      </c>
      <c r="AA11" s="28" t="e">
        <f>manip_pt_pc!#REF!+'manip_pt_b+c'!#REF!+'manip_pt_t+m'!#REF!+manip_pt_rail!#REF!+manip_pt_air_dom!#REF!+manip_pt_air_intra!#REF!+manip_pt_air_extra!#REF!</f>
        <v>#REF!</v>
      </c>
      <c r="AB11" s="28" t="e">
        <f>manip_pt_pc!#REF!+'manip_pt_b+c'!#REF!+'manip_pt_t+m'!#REF!+manip_pt_rail!#REF!+manip_pt_air_dom!#REF!+manip_pt_air_intra!#REF!+manip_pt_air_extra!#REF!</f>
        <v>#REF!</v>
      </c>
      <c r="AC11" s="28" t="e">
        <f>manip_pt_pc!#REF!+'manip_pt_b+c'!#REF!+'manip_pt_t+m'!#REF!+manip_pt_rail!#REF!+manip_pt_air_dom!#REF!+manip_pt_air_intra!#REF!+manip_pt_air_extra!#REF!</f>
        <v>#REF!</v>
      </c>
      <c r="AD11" s="28" t="e">
        <f>manip_pt_pc!#REF!+'manip_pt_b+c'!#REF!+'manip_pt_t+m'!#REF!+manip_pt_rail!#REF!+manip_pt_air_dom!#REF!+manip_pt_air_intra!#REF!+manip_pt_air_extra!#REF!</f>
        <v>#REF!</v>
      </c>
      <c r="AE11" s="28" t="e">
        <f>manip_pt_pc!#REF!+'manip_pt_b+c'!#REF!+'manip_pt_t+m'!#REF!+manip_pt_rail!#REF!+manip_pt_air_dom!#REF!+manip_pt_air_intra!#REF!+manip_pt_air_extra!#REF!</f>
        <v>#REF!</v>
      </c>
      <c r="AF11" s="28" t="e">
        <f>manip_pt_pc!#REF!+'manip_pt_b+c'!#REF!+'manip_pt_t+m'!#REF!+manip_pt_rail!#REF!+manip_pt_air_dom!#REF!+manip_pt_air_intra!#REF!+manip_pt_air_extra!#REF!</f>
        <v>#REF!</v>
      </c>
      <c r="AG11" s="28" t="e">
        <f>manip_pt_pc!#REF!+'manip_pt_b+c'!#REF!+'manip_pt_t+m'!#REF!+manip_pt_rail!#REF!+manip_pt_air_dom!#REF!+manip_pt_air_intra!#REF!+manip_pt_air_extra!#REF!</f>
        <v>#REF!</v>
      </c>
      <c r="AH11" s="28" t="e">
        <f>manip_pt_pc!#REF!+'manip_pt_b+c'!#REF!+'manip_pt_t+m'!#REF!+manip_pt_rail!#REF!+manip_pt_air_dom!#REF!+manip_pt_air_intra!#REF!+manip_pt_air_extra!#REF!</f>
        <v>#REF!</v>
      </c>
      <c r="AI11" s="28" t="e">
        <f>manip_pt_pc!#REF!+'manip_pt_b+c'!#REF!+'manip_pt_t+m'!#REF!+manip_pt_rail!#REF!+manip_pt_air_dom!#REF!+manip_pt_air_intra!#REF!+manip_pt_air_extra!#REF!</f>
        <v>#REF!</v>
      </c>
      <c r="AK11" s="53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U11" s="53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</row>
    <row r="12" spans="1:89" ht="11.25" customHeight="1" hidden="1" outlineLevel="1">
      <c r="A12" s="53">
        <v>1986</v>
      </c>
      <c r="B12" s="28" t="e">
        <f>+manip_pt_mbike!B11+manip_pt_pc!#REF!+'manip_pt_b+c'!#REF!+'manip_pt_t+m'!#REF!+manip_pt_rail!#REF!+manip_waterborne_pt!#REF!+manip_pt_air_dom!#REF!+manip_pt_air_intra!#REF!+manip_pt_air_extra!#REF!</f>
        <v>#REF!</v>
      </c>
      <c r="C12" s="28" t="e">
        <f>+manip_pt_mbike!C11+manip_pt_pc!#REF!+'manip_pt_b+c'!#REF!+'manip_pt_t+m'!#REF!+manip_pt_rail!#REF!+manip_waterborne_pt!#REF!+manip_pt_air_dom!#REF!+manip_pt_air_intra!#REF!+manip_pt_air_extra!#REF!</f>
        <v>#REF!</v>
      </c>
      <c r="D12" s="28" t="e">
        <f>+manip_pt_mbike!D11+manip_pt_pc!#REF!+'manip_pt_b+c'!#REF!+'manip_pt_t+m'!#REF!+manip_pt_rail!#REF!+manip_waterborne_pt!#REF!+manip_pt_air_dom!#REF!+manip_pt_air_intra!#REF!+manip_pt_air_extra!#REF!</f>
        <v>#REF!</v>
      </c>
      <c r="E12" s="28" t="e">
        <f>+manip_pt_mbike!E11+manip_pt_pc!#REF!+'manip_pt_b+c'!#REF!+'manip_pt_t+m'!#REF!+manip_pt_rail!#REF!+manip_waterborne_pt!#REF!+manip_pt_air_dom!#REF!+manip_pt_air_intra!#REF!+manip_pt_air_extra!#REF!</f>
        <v>#REF!</v>
      </c>
      <c r="F12" s="28" t="e">
        <f>+manip_pt_mbike!F11+manip_pt_pc!#REF!+'manip_pt_b+c'!#REF!+'manip_pt_t+m'!#REF!+manip_pt_rail!#REF!+manip_waterborne_pt!#REF!+manip_pt_air_dom!#REF!+manip_pt_air_intra!#REF!+manip_pt_air_extra!#REF!</f>
        <v>#REF!</v>
      </c>
      <c r="G12" s="28" t="e">
        <f>+manip_pt_mbike!G11+manip_pt_pc!#REF!+'manip_pt_b+c'!#REF!+'manip_pt_t+m'!#REF!+manip_pt_rail!#REF!+manip_waterborne_pt!#REF!+manip_pt_air_dom!#REF!+manip_pt_air_intra!#REF!+manip_pt_air_extra!#REF!</f>
        <v>#REF!</v>
      </c>
      <c r="H12" s="28" t="e">
        <f>+manip_pt_mbike!H11+manip_pt_pc!#REF!+'manip_pt_b+c'!#REF!+'manip_pt_t+m'!#REF!+manip_pt_rail!#REF!+manip_waterborne_pt!#REF!+manip_pt_air_dom!#REF!+manip_pt_air_intra!#REF!+manip_pt_air_extra!#REF!</f>
        <v>#REF!</v>
      </c>
      <c r="I12" s="28" t="e">
        <f>+manip_pt_mbike!I11+manip_pt_pc!#REF!+'manip_pt_b+c'!#REF!+'manip_pt_t+m'!#REF!+manip_pt_rail!#REF!+manip_waterborne_pt!#REF!+manip_pt_air_dom!#REF!+manip_pt_air_intra!#REF!+manip_pt_air_extra!#REF!</f>
        <v>#REF!</v>
      </c>
      <c r="J12" s="28" t="e">
        <f>+manip_pt_mbike!J11+manip_pt_pc!#REF!+'manip_pt_b+c'!#REF!+'manip_pt_t+m'!#REF!+manip_pt_rail!#REF!+manip_waterborne_pt!#REF!+manip_pt_air_dom!#REF!+manip_pt_air_intra!#REF!+manip_pt_air_extra!#REF!</f>
        <v>#REF!</v>
      </c>
      <c r="K12" s="28" t="e">
        <f>+manip_pt_mbike!K11+manip_pt_pc!#REF!+'manip_pt_b+c'!#REF!+'manip_pt_t+m'!#REF!+manip_pt_rail!#REF!+manip_waterborne_pt!#REF!+manip_pt_air_dom!#REF!+manip_pt_air_intra!#REF!+manip_pt_air_extra!#REF!</f>
        <v>#REF!</v>
      </c>
      <c r="L12" s="28" t="e">
        <f>+manip_pt_mbike!L11+manip_pt_pc!#REF!+'manip_pt_b+c'!#REF!+'manip_pt_t+m'!#REF!+manip_pt_rail!#REF!+manip_waterborne_pt!#REF!+manip_pt_air_dom!#REF!+manip_pt_air_intra!#REF!+manip_pt_air_extra!#REF!</f>
        <v>#REF!</v>
      </c>
      <c r="M12" s="28" t="e">
        <f>+manip_pt_mbike!M11+manip_pt_pc!#REF!+'manip_pt_b+c'!#REF!+'manip_pt_t+m'!#REF!+manip_pt_rail!#REF!+manip_waterborne_pt!#REF!+manip_pt_air_dom!#REF!+manip_pt_air_intra!#REF!+manip_pt_air_extra!#REF!</f>
        <v>#REF!</v>
      </c>
      <c r="N12" s="28" t="e">
        <f>+manip_pt_mbike!N11+manip_pt_pc!#REF!+'manip_pt_b+c'!#REF!+'manip_pt_t+m'!#REF!+manip_pt_rail!#REF!+manip_waterborne_pt!#REF!+manip_pt_air_dom!#REF!+manip_pt_air_intra!#REF!+manip_pt_air_extra!#REF!</f>
        <v>#REF!</v>
      </c>
      <c r="O12" s="28" t="e">
        <f>+manip_pt_mbike!O11+manip_pt_pc!#REF!+'manip_pt_b+c'!#REF!+'manip_pt_t+m'!#REF!+manip_pt_rail!#REF!+manip_waterborne_pt!#REF!+manip_pt_air_dom!#REF!+manip_pt_air_intra!#REF!+manip_pt_air_extra!#REF!</f>
        <v>#REF!</v>
      </c>
      <c r="P12" s="28" t="e">
        <f>+manip_pt_mbike!P11+manip_pt_pc!#REF!+'manip_pt_b+c'!#REF!+'manip_pt_t+m'!#REF!+manip_pt_rail!#REF!+manip_waterborne_pt!#REF!+manip_pt_air_dom!#REF!+manip_pt_air_intra!#REF!+manip_pt_air_extra!#REF!</f>
        <v>#REF!</v>
      </c>
      <c r="Q12" s="28" t="e">
        <f>+manip_pt_mbike!Q11+manip_pt_pc!#REF!+'manip_pt_b+c'!#REF!+'manip_pt_t+m'!#REF!+manip_pt_rail!#REF!+manip_waterborne_pt!#REF!+manip_pt_air_dom!#REF!+manip_pt_air_intra!#REF!+manip_pt_air_extra!#REF!</f>
        <v>#REF!</v>
      </c>
      <c r="S12" s="53">
        <v>1986</v>
      </c>
      <c r="T12" s="28" t="e">
        <f>manip_pt_pc!#REF!+'manip_pt_b+c'!#REF!+'manip_pt_t+m'!#REF!+manip_pt_rail!#REF!+manip_pt_air_dom!#REF!+manip_pt_air_intra!#REF!+manip_pt_air_extra!#REF!</f>
        <v>#REF!</v>
      </c>
      <c r="U12" s="28" t="e">
        <f>manip_pt_pc!#REF!+'manip_pt_b+c'!#REF!+'manip_pt_t+m'!#REF!+manip_pt_rail!#REF!+manip_pt_air_dom!#REF!+manip_pt_air_intra!#REF!+manip_pt_air_extra!#REF!</f>
        <v>#REF!</v>
      </c>
      <c r="V12" s="28" t="e">
        <f>manip_pt_pc!#REF!+'manip_pt_b+c'!#REF!+'manip_pt_t+m'!#REF!+manip_pt_rail!#REF!+manip_pt_air_dom!#REF!+manip_pt_air_intra!#REF!+manip_pt_air_extra!#REF!</f>
        <v>#REF!</v>
      </c>
      <c r="W12" s="28" t="e">
        <f>manip_pt_pc!#REF!+'manip_pt_b+c'!#REF!+'manip_pt_t+m'!#REF!+manip_pt_rail!#REF!+manip_pt_air_dom!#REF!+manip_pt_air_intra!#REF!+manip_pt_air_extra!#REF!</f>
        <v>#REF!</v>
      </c>
      <c r="X12" s="28" t="e">
        <f>manip_pt_pc!#REF!+'manip_pt_b+c'!#REF!+'manip_pt_t+m'!#REF!+manip_pt_rail!#REF!+manip_pt_air_dom!#REF!+manip_pt_air_intra!#REF!+manip_pt_air_extra!#REF!</f>
        <v>#REF!</v>
      </c>
      <c r="Y12" s="28" t="e">
        <f>manip_pt_pc!#REF!+'manip_pt_b+c'!#REF!+'manip_pt_t+m'!#REF!+manip_pt_rail!#REF!+manip_pt_air_dom!#REF!+manip_pt_air_intra!#REF!+manip_pt_air_extra!#REF!</f>
        <v>#REF!</v>
      </c>
      <c r="Z12" s="28" t="e">
        <f>manip_pt_pc!#REF!+'manip_pt_b+c'!#REF!+'manip_pt_t+m'!#REF!+manip_pt_rail!#REF!+manip_pt_air_dom!#REF!+manip_pt_air_intra!#REF!+manip_pt_air_extra!#REF!</f>
        <v>#REF!</v>
      </c>
      <c r="AA12" s="28" t="e">
        <f>manip_pt_pc!#REF!+'manip_pt_b+c'!#REF!+'manip_pt_t+m'!#REF!+manip_pt_rail!#REF!+manip_pt_air_dom!#REF!+manip_pt_air_intra!#REF!+manip_pt_air_extra!#REF!</f>
        <v>#REF!</v>
      </c>
      <c r="AB12" s="28" t="e">
        <f>manip_pt_pc!#REF!+'manip_pt_b+c'!#REF!+'manip_pt_t+m'!#REF!+manip_pt_rail!#REF!+manip_pt_air_dom!#REF!+manip_pt_air_intra!#REF!+manip_pt_air_extra!#REF!</f>
        <v>#REF!</v>
      </c>
      <c r="AC12" s="28" t="e">
        <f>manip_pt_pc!#REF!+'manip_pt_b+c'!#REF!+'manip_pt_t+m'!#REF!+manip_pt_rail!#REF!+manip_pt_air_dom!#REF!+manip_pt_air_intra!#REF!+manip_pt_air_extra!#REF!</f>
        <v>#REF!</v>
      </c>
      <c r="AD12" s="28" t="e">
        <f>manip_pt_pc!#REF!+'manip_pt_b+c'!#REF!+'manip_pt_t+m'!#REF!+manip_pt_rail!#REF!+manip_pt_air_dom!#REF!+manip_pt_air_intra!#REF!+manip_pt_air_extra!#REF!</f>
        <v>#REF!</v>
      </c>
      <c r="AE12" s="28" t="e">
        <f>manip_pt_pc!#REF!+'manip_pt_b+c'!#REF!+'manip_pt_t+m'!#REF!+manip_pt_rail!#REF!+manip_pt_air_dom!#REF!+manip_pt_air_intra!#REF!+manip_pt_air_extra!#REF!</f>
        <v>#REF!</v>
      </c>
      <c r="AF12" s="28" t="e">
        <f>manip_pt_pc!#REF!+'manip_pt_b+c'!#REF!+'manip_pt_t+m'!#REF!+manip_pt_rail!#REF!+manip_pt_air_dom!#REF!+manip_pt_air_intra!#REF!+manip_pt_air_extra!#REF!</f>
        <v>#REF!</v>
      </c>
      <c r="AG12" s="28" t="e">
        <f>manip_pt_pc!#REF!+'manip_pt_b+c'!#REF!+'manip_pt_t+m'!#REF!+manip_pt_rail!#REF!+manip_pt_air_dom!#REF!+manip_pt_air_intra!#REF!+manip_pt_air_extra!#REF!</f>
        <v>#REF!</v>
      </c>
      <c r="AH12" s="28" t="e">
        <f>manip_pt_pc!#REF!+'manip_pt_b+c'!#REF!+'manip_pt_t+m'!#REF!+manip_pt_rail!#REF!+manip_pt_air_dom!#REF!+manip_pt_air_intra!#REF!+manip_pt_air_extra!#REF!</f>
        <v>#REF!</v>
      </c>
      <c r="AI12" s="28" t="e">
        <f>manip_pt_pc!#REF!+'manip_pt_b+c'!#REF!+'manip_pt_t+m'!#REF!+manip_pt_rail!#REF!+manip_pt_air_dom!#REF!+manip_pt_air_intra!#REF!+manip_pt_air_extra!#REF!</f>
        <v>#REF!</v>
      </c>
      <c r="AK12" s="53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U12" s="53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</row>
    <row r="13" spans="1:89" ht="11.25" customHeight="1" hidden="1" outlineLevel="1">
      <c r="A13" s="53">
        <v>1987</v>
      </c>
      <c r="B13" s="28" t="e">
        <f>+manip_pt_mbike!B12+manip_pt_pc!#REF!+'manip_pt_b+c'!#REF!+'manip_pt_t+m'!#REF!+manip_pt_rail!#REF!+manip_waterborne_pt!#REF!+manip_pt_air_dom!#REF!+manip_pt_air_intra!#REF!+manip_pt_air_extra!#REF!</f>
        <v>#REF!</v>
      </c>
      <c r="C13" s="28" t="e">
        <f>+manip_pt_mbike!C12+manip_pt_pc!#REF!+'manip_pt_b+c'!#REF!+'manip_pt_t+m'!#REF!+manip_pt_rail!#REF!+manip_waterborne_pt!#REF!+manip_pt_air_dom!#REF!+manip_pt_air_intra!#REF!+manip_pt_air_extra!#REF!</f>
        <v>#REF!</v>
      </c>
      <c r="D13" s="28" t="e">
        <f>+manip_pt_mbike!D12+manip_pt_pc!#REF!+'manip_pt_b+c'!#REF!+'manip_pt_t+m'!#REF!+manip_pt_rail!#REF!+manip_waterborne_pt!#REF!+manip_pt_air_dom!#REF!+manip_pt_air_intra!#REF!+manip_pt_air_extra!#REF!</f>
        <v>#REF!</v>
      </c>
      <c r="E13" s="28" t="e">
        <f>+manip_pt_mbike!E12+manip_pt_pc!#REF!+'manip_pt_b+c'!#REF!+'manip_pt_t+m'!#REF!+manip_pt_rail!#REF!+manip_waterborne_pt!#REF!+manip_pt_air_dom!#REF!+manip_pt_air_intra!#REF!+manip_pt_air_extra!#REF!</f>
        <v>#REF!</v>
      </c>
      <c r="F13" s="28" t="e">
        <f>+manip_pt_mbike!F12+manip_pt_pc!#REF!+'manip_pt_b+c'!#REF!+'manip_pt_t+m'!#REF!+manip_pt_rail!#REF!+manip_waterborne_pt!#REF!+manip_pt_air_dom!#REF!+manip_pt_air_intra!#REF!+manip_pt_air_extra!#REF!</f>
        <v>#REF!</v>
      </c>
      <c r="G13" s="28" t="e">
        <f>+manip_pt_mbike!G12+manip_pt_pc!#REF!+'manip_pt_b+c'!#REF!+'manip_pt_t+m'!#REF!+manip_pt_rail!#REF!+manip_waterborne_pt!#REF!+manip_pt_air_dom!#REF!+manip_pt_air_intra!#REF!+manip_pt_air_extra!#REF!</f>
        <v>#REF!</v>
      </c>
      <c r="H13" s="28" t="e">
        <f>+manip_pt_mbike!H12+manip_pt_pc!#REF!+'manip_pt_b+c'!#REF!+'manip_pt_t+m'!#REF!+manip_pt_rail!#REF!+manip_waterborne_pt!#REF!+manip_pt_air_dom!#REF!+manip_pt_air_intra!#REF!+manip_pt_air_extra!#REF!</f>
        <v>#REF!</v>
      </c>
      <c r="I13" s="28" t="e">
        <f>+manip_pt_mbike!I12+manip_pt_pc!#REF!+'manip_pt_b+c'!#REF!+'manip_pt_t+m'!#REF!+manip_pt_rail!#REF!+manip_waterborne_pt!#REF!+manip_pt_air_dom!#REF!+manip_pt_air_intra!#REF!+manip_pt_air_extra!#REF!</f>
        <v>#REF!</v>
      </c>
      <c r="J13" s="28" t="e">
        <f>+manip_pt_mbike!J12+manip_pt_pc!#REF!+'manip_pt_b+c'!#REF!+'manip_pt_t+m'!#REF!+manip_pt_rail!#REF!+manip_waterborne_pt!#REF!+manip_pt_air_dom!#REF!+manip_pt_air_intra!#REF!+manip_pt_air_extra!#REF!</f>
        <v>#REF!</v>
      </c>
      <c r="K13" s="28" t="e">
        <f>+manip_pt_mbike!K12+manip_pt_pc!#REF!+'manip_pt_b+c'!#REF!+'manip_pt_t+m'!#REF!+manip_pt_rail!#REF!+manip_waterborne_pt!#REF!+manip_pt_air_dom!#REF!+manip_pt_air_intra!#REF!+manip_pt_air_extra!#REF!</f>
        <v>#REF!</v>
      </c>
      <c r="L13" s="28" t="e">
        <f>+manip_pt_mbike!L12+manip_pt_pc!#REF!+'manip_pt_b+c'!#REF!+'manip_pt_t+m'!#REF!+manip_pt_rail!#REF!+manip_waterborne_pt!#REF!+manip_pt_air_dom!#REF!+manip_pt_air_intra!#REF!+manip_pt_air_extra!#REF!</f>
        <v>#REF!</v>
      </c>
      <c r="M13" s="28" t="e">
        <f>+manip_pt_mbike!M12+manip_pt_pc!#REF!+'manip_pt_b+c'!#REF!+'manip_pt_t+m'!#REF!+manip_pt_rail!#REF!+manip_waterborne_pt!#REF!+manip_pt_air_dom!#REF!+manip_pt_air_intra!#REF!+manip_pt_air_extra!#REF!</f>
        <v>#REF!</v>
      </c>
      <c r="N13" s="28" t="e">
        <f>+manip_pt_mbike!N12+manip_pt_pc!#REF!+'manip_pt_b+c'!#REF!+'manip_pt_t+m'!#REF!+manip_pt_rail!#REF!+manip_waterborne_pt!#REF!+manip_pt_air_dom!#REF!+manip_pt_air_intra!#REF!+manip_pt_air_extra!#REF!</f>
        <v>#REF!</v>
      </c>
      <c r="O13" s="28" t="e">
        <f>+manip_pt_mbike!O12+manip_pt_pc!#REF!+'manip_pt_b+c'!#REF!+'manip_pt_t+m'!#REF!+manip_pt_rail!#REF!+manip_waterborne_pt!#REF!+manip_pt_air_dom!#REF!+manip_pt_air_intra!#REF!+manip_pt_air_extra!#REF!</f>
        <v>#REF!</v>
      </c>
      <c r="P13" s="28" t="e">
        <f>+manip_pt_mbike!P12+manip_pt_pc!#REF!+'manip_pt_b+c'!#REF!+'manip_pt_t+m'!#REF!+manip_pt_rail!#REF!+manip_waterborne_pt!#REF!+manip_pt_air_dom!#REF!+manip_pt_air_intra!#REF!+manip_pt_air_extra!#REF!</f>
        <v>#REF!</v>
      </c>
      <c r="Q13" s="28" t="e">
        <f>+manip_pt_mbike!Q12+manip_pt_pc!#REF!+'manip_pt_b+c'!#REF!+'manip_pt_t+m'!#REF!+manip_pt_rail!#REF!+manip_waterborne_pt!#REF!+manip_pt_air_dom!#REF!+manip_pt_air_intra!#REF!+manip_pt_air_extra!#REF!</f>
        <v>#REF!</v>
      </c>
      <c r="S13" s="53">
        <v>1987</v>
      </c>
      <c r="T13" s="28" t="e">
        <f>manip_pt_pc!#REF!+'manip_pt_b+c'!#REF!+'manip_pt_t+m'!#REF!+manip_pt_rail!#REF!+manip_pt_air_dom!#REF!+manip_pt_air_intra!#REF!+manip_pt_air_extra!#REF!</f>
        <v>#REF!</v>
      </c>
      <c r="U13" s="28" t="e">
        <f>manip_pt_pc!#REF!+'manip_pt_b+c'!#REF!+'manip_pt_t+m'!#REF!+manip_pt_rail!#REF!+manip_pt_air_dom!#REF!+manip_pt_air_intra!#REF!+manip_pt_air_extra!#REF!</f>
        <v>#REF!</v>
      </c>
      <c r="V13" s="28" t="e">
        <f>manip_pt_pc!#REF!+'manip_pt_b+c'!#REF!+'manip_pt_t+m'!#REF!+manip_pt_rail!#REF!+manip_pt_air_dom!#REF!+manip_pt_air_intra!#REF!+manip_pt_air_extra!#REF!</f>
        <v>#REF!</v>
      </c>
      <c r="W13" s="28" t="e">
        <f>manip_pt_pc!#REF!+'manip_pt_b+c'!#REF!+'manip_pt_t+m'!#REF!+manip_pt_rail!#REF!+manip_pt_air_dom!#REF!+manip_pt_air_intra!#REF!+manip_pt_air_extra!#REF!</f>
        <v>#REF!</v>
      </c>
      <c r="X13" s="28" t="e">
        <f>manip_pt_pc!#REF!+'manip_pt_b+c'!#REF!+'manip_pt_t+m'!#REF!+manip_pt_rail!#REF!+manip_pt_air_dom!#REF!+manip_pt_air_intra!#REF!+manip_pt_air_extra!#REF!</f>
        <v>#REF!</v>
      </c>
      <c r="Y13" s="28" t="e">
        <f>manip_pt_pc!#REF!+'manip_pt_b+c'!#REF!+'manip_pt_t+m'!#REF!+manip_pt_rail!#REF!+manip_pt_air_dom!#REF!+manip_pt_air_intra!#REF!+manip_pt_air_extra!#REF!</f>
        <v>#REF!</v>
      </c>
      <c r="Z13" s="28" t="e">
        <f>manip_pt_pc!#REF!+'manip_pt_b+c'!#REF!+'manip_pt_t+m'!#REF!+manip_pt_rail!#REF!+manip_pt_air_dom!#REF!+manip_pt_air_intra!#REF!+manip_pt_air_extra!#REF!</f>
        <v>#REF!</v>
      </c>
      <c r="AA13" s="28" t="e">
        <f>manip_pt_pc!#REF!+'manip_pt_b+c'!#REF!+'manip_pt_t+m'!#REF!+manip_pt_rail!#REF!+manip_pt_air_dom!#REF!+manip_pt_air_intra!#REF!+manip_pt_air_extra!#REF!</f>
        <v>#REF!</v>
      </c>
      <c r="AB13" s="28" t="e">
        <f>manip_pt_pc!#REF!+'manip_pt_b+c'!#REF!+'manip_pt_t+m'!#REF!+manip_pt_rail!#REF!+manip_pt_air_dom!#REF!+manip_pt_air_intra!#REF!+manip_pt_air_extra!#REF!</f>
        <v>#REF!</v>
      </c>
      <c r="AC13" s="28" t="e">
        <f>manip_pt_pc!#REF!+'manip_pt_b+c'!#REF!+'manip_pt_t+m'!#REF!+manip_pt_rail!#REF!+manip_pt_air_dom!#REF!+manip_pt_air_intra!#REF!+manip_pt_air_extra!#REF!</f>
        <v>#REF!</v>
      </c>
      <c r="AD13" s="28" t="e">
        <f>manip_pt_pc!#REF!+'manip_pt_b+c'!#REF!+'manip_pt_t+m'!#REF!+manip_pt_rail!#REF!+manip_pt_air_dom!#REF!+manip_pt_air_intra!#REF!+manip_pt_air_extra!#REF!</f>
        <v>#REF!</v>
      </c>
      <c r="AE13" s="28" t="e">
        <f>manip_pt_pc!#REF!+'manip_pt_b+c'!#REF!+'manip_pt_t+m'!#REF!+manip_pt_rail!#REF!+manip_pt_air_dom!#REF!+manip_pt_air_intra!#REF!+manip_pt_air_extra!#REF!</f>
        <v>#REF!</v>
      </c>
      <c r="AF13" s="28" t="e">
        <f>manip_pt_pc!#REF!+'manip_pt_b+c'!#REF!+'manip_pt_t+m'!#REF!+manip_pt_rail!#REF!+manip_pt_air_dom!#REF!+manip_pt_air_intra!#REF!+manip_pt_air_extra!#REF!</f>
        <v>#REF!</v>
      </c>
      <c r="AG13" s="28" t="e">
        <f>manip_pt_pc!#REF!+'manip_pt_b+c'!#REF!+'manip_pt_t+m'!#REF!+manip_pt_rail!#REF!+manip_pt_air_dom!#REF!+manip_pt_air_intra!#REF!+manip_pt_air_extra!#REF!</f>
        <v>#REF!</v>
      </c>
      <c r="AH13" s="28" t="e">
        <f>manip_pt_pc!#REF!+'manip_pt_b+c'!#REF!+'manip_pt_t+m'!#REF!+manip_pt_rail!#REF!+manip_pt_air_dom!#REF!+manip_pt_air_intra!#REF!+manip_pt_air_extra!#REF!</f>
        <v>#REF!</v>
      </c>
      <c r="AI13" s="28" t="e">
        <f>manip_pt_pc!#REF!+'manip_pt_b+c'!#REF!+'manip_pt_t+m'!#REF!+manip_pt_rail!#REF!+manip_pt_air_dom!#REF!+manip_pt_air_intra!#REF!+manip_pt_air_extra!#REF!</f>
        <v>#REF!</v>
      </c>
      <c r="AK13" s="53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U13" s="53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</row>
    <row r="14" spans="1:89" ht="11.25" customHeight="1" hidden="1" outlineLevel="1">
      <c r="A14" s="53">
        <v>1988</v>
      </c>
      <c r="B14" s="28" t="e">
        <f>+manip_pt_mbike!B13+manip_pt_pc!#REF!+'manip_pt_b+c'!#REF!+'manip_pt_t+m'!#REF!+manip_pt_rail!#REF!+manip_waterborne_pt!#REF!+manip_pt_air_dom!#REF!+manip_pt_air_intra!#REF!+manip_pt_air_extra!#REF!</f>
        <v>#REF!</v>
      </c>
      <c r="C14" s="28" t="e">
        <f>+manip_pt_mbike!C13+manip_pt_pc!#REF!+'manip_pt_b+c'!#REF!+'manip_pt_t+m'!#REF!+manip_pt_rail!#REF!+manip_waterborne_pt!#REF!+manip_pt_air_dom!#REF!+manip_pt_air_intra!#REF!+manip_pt_air_extra!#REF!</f>
        <v>#REF!</v>
      </c>
      <c r="D14" s="28" t="e">
        <f>+manip_pt_mbike!D13+manip_pt_pc!#REF!+'manip_pt_b+c'!#REF!+'manip_pt_t+m'!#REF!+manip_pt_rail!#REF!+manip_waterborne_pt!#REF!+manip_pt_air_dom!#REF!+manip_pt_air_intra!#REF!+manip_pt_air_extra!#REF!</f>
        <v>#REF!</v>
      </c>
      <c r="E14" s="28" t="e">
        <f>+manip_pt_mbike!E13+manip_pt_pc!#REF!+'manip_pt_b+c'!#REF!+'manip_pt_t+m'!#REF!+manip_pt_rail!#REF!+manip_waterborne_pt!#REF!+manip_pt_air_dom!#REF!+manip_pt_air_intra!#REF!+manip_pt_air_extra!#REF!</f>
        <v>#REF!</v>
      </c>
      <c r="F14" s="28" t="e">
        <f>+manip_pt_mbike!F13+manip_pt_pc!#REF!+'manip_pt_b+c'!#REF!+'manip_pt_t+m'!#REF!+manip_pt_rail!#REF!+manip_waterborne_pt!#REF!+manip_pt_air_dom!#REF!+manip_pt_air_intra!#REF!+manip_pt_air_extra!#REF!</f>
        <v>#REF!</v>
      </c>
      <c r="G14" s="28" t="e">
        <f>+manip_pt_mbike!G13+manip_pt_pc!#REF!+'manip_pt_b+c'!#REF!+'manip_pt_t+m'!#REF!+manip_pt_rail!#REF!+manip_waterborne_pt!#REF!+manip_pt_air_dom!#REF!+manip_pt_air_intra!#REF!+manip_pt_air_extra!#REF!</f>
        <v>#REF!</v>
      </c>
      <c r="H14" s="28" t="e">
        <f>+manip_pt_mbike!H13+manip_pt_pc!#REF!+'manip_pt_b+c'!#REF!+'manip_pt_t+m'!#REF!+manip_pt_rail!#REF!+manip_waterborne_pt!#REF!+manip_pt_air_dom!#REF!+manip_pt_air_intra!#REF!+manip_pt_air_extra!#REF!</f>
        <v>#REF!</v>
      </c>
      <c r="I14" s="28" t="e">
        <f>+manip_pt_mbike!I13+manip_pt_pc!#REF!+'manip_pt_b+c'!#REF!+'manip_pt_t+m'!#REF!+manip_pt_rail!#REF!+manip_waterborne_pt!#REF!+manip_pt_air_dom!#REF!+manip_pt_air_intra!#REF!+manip_pt_air_extra!#REF!</f>
        <v>#REF!</v>
      </c>
      <c r="J14" s="28" t="e">
        <f>+manip_pt_mbike!J13+manip_pt_pc!#REF!+'manip_pt_b+c'!#REF!+'manip_pt_t+m'!#REF!+manip_pt_rail!#REF!+manip_waterborne_pt!#REF!+manip_pt_air_dom!#REF!+manip_pt_air_intra!#REF!+manip_pt_air_extra!#REF!</f>
        <v>#REF!</v>
      </c>
      <c r="K14" s="28" t="e">
        <f>+manip_pt_mbike!K13+manip_pt_pc!#REF!+'manip_pt_b+c'!#REF!+'manip_pt_t+m'!#REF!+manip_pt_rail!#REF!+manip_waterborne_pt!#REF!+manip_pt_air_dom!#REF!+manip_pt_air_intra!#REF!+manip_pt_air_extra!#REF!</f>
        <v>#REF!</v>
      </c>
      <c r="L14" s="28" t="e">
        <f>+manip_pt_mbike!L13+manip_pt_pc!#REF!+'manip_pt_b+c'!#REF!+'manip_pt_t+m'!#REF!+manip_pt_rail!#REF!+manip_waterborne_pt!#REF!+manip_pt_air_dom!#REF!+manip_pt_air_intra!#REF!+manip_pt_air_extra!#REF!</f>
        <v>#REF!</v>
      </c>
      <c r="M14" s="28" t="e">
        <f>+manip_pt_mbike!M13+manip_pt_pc!#REF!+'manip_pt_b+c'!#REF!+'manip_pt_t+m'!#REF!+manip_pt_rail!#REF!+manip_waterborne_pt!#REF!+manip_pt_air_dom!#REF!+manip_pt_air_intra!#REF!+manip_pt_air_extra!#REF!</f>
        <v>#REF!</v>
      </c>
      <c r="N14" s="28" t="e">
        <f>+manip_pt_mbike!N13+manip_pt_pc!#REF!+'manip_pt_b+c'!#REF!+'manip_pt_t+m'!#REF!+manip_pt_rail!#REF!+manip_waterborne_pt!#REF!+manip_pt_air_dom!#REF!+manip_pt_air_intra!#REF!+manip_pt_air_extra!#REF!</f>
        <v>#REF!</v>
      </c>
      <c r="O14" s="28" t="e">
        <f>+manip_pt_mbike!O13+manip_pt_pc!#REF!+'manip_pt_b+c'!#REF!+'manip_pt_t+m'!#REF!+manip_pt_rail!#REF!+manip_waterborne_pt!#REF!+manip_pt_air_dom!#REF!+manip_pt_air_intra!#REF!+manip_pt_air_extra!#REF!</f>
        <v>#REF!</v>
      </c>
      <c r="P14" s="28" t="e">
        <f>+manip_pt_mbike!P13+manip_pt_pc!#REF!+'manip_pt_b+c'!#REF!+'manip_pt_t+m'!#REF!+manip_pt_rail!#REF!+manip_waterborne_pt!#REF!+manip_pt_air_dom!#REF!+manip_pt_air_intra!#REF!+manip_pt_air_extra!#REF!</f>
        <v>#REF!</v>
      </c>
      <c r="Q14" s="28" t="e">
        <f>+manip_pt_mbike!Q13+manip_pt_pc!#REF!+'manip_pt_b+c'!#REF!+'manip_pt_t+m'!#REF!+manip_pt_rail!#REF!+manip_waterborne_pt!#REF!+manip_pt_air_dom!#REF!+manip_pt_air_intra!#REF!+manip_pt_air_extra!#REF!</f>
        <v>#REF!</v>
      </c>
      <c r="S14" s="53">
        <v>1988</v>
      </c>
      <c r="T14" s="28" t="e">
        <f>manip_pt_pc!#REF!+'manip_pt_b+c'!#REF!+'manip_pt_t+m'!#REF!+manip_pt_rail!#REF!+manip_pt_air_dom!#REF!+manip_pt_air_intra!#REF!+manip_pt_air_extra!#REF!</f>
        <v>#REF!</v>
      </c>
      <c r="U14" s="28" t="e">
        <f>manip_pt_pc!#REF!+'manip_pt_b+c'!#REF!+'manip_pt_t+m'!#REF!+manip_pt_rail!#REF!+manip_pt_air_dom!#REF!+manip_pt_air_intra!#REF!+manip_pt_air_extra!#REF!</f>
        <v>#REF!</v>
      </c>
      <c r="V14" s="28" t="e">
        <f>manip_pt_pc!#REF!+'manip_pt_b+c'!#REF!+'manip_pt_t+m'!#REF!+manip_pt_rail!#REF!+manip_pt_air_dom!#REF!+manip_pt_air_intra!#REF!+manip_pt_air_extra!#REF!</f>
        <v>#REF!</v>
      </c>
      <c r="W14" s="28" t="e">
        <f>manip_pt_pc!#REF!+'manip_pt_b+c'!#REF!+'manip_pt_t+m'!#REF!+manip_pt_rail!#REF!+manip_pt_air_dom!#REF!+manip_pt_air_intra!#REF!+manip_pt_air_extra!#REF!</f>
        <v>#REF!</v>
      </c>
      <c r="X14" s="28" t="e">
        <f>manip_pt_pc!#REF!+'manip_pt_b+c'!#REF!+'manip_pt_t+m'!#REF!+manip_pt_rail!#REF!+manip_pt_air_dom!#REF!+manip_pt_air_intra!#REF!+manip_pt_air_extra!#REF!</f>
        <v>#REF!</v>
      </c>
      <c r="Y14" s="28" t="e">
        <f>manip_pt_pc!#REF!+'manip_pt_b+c'!#REF!+'manip_pt_t+m'!#REF!+manip_pt_rail!#REF!+manip_pt_air_dom!#REF!+manip_pt_air_intra!#REF!+manip_pt_air_extra!#REF!</f>
        <v>#REF!</v>
      </c>
      <c r="Z14" s="28" t="e">
        <f>manip_pt_pc!#REF!+'manip_pt_b+c'!#REF!+'manip_pt_t+m'!#REF!+manip_pt_rail!#REF!+manip_pt_air_dom!#REF!+manip_pt_air_intra!#REF!+manip_pt_air_extra!#REF!</f>
        <v>#REF!</v>
      </c>
      <c r="AA14" s="28" t="e">
        <f>manip_pt_pc!#REF!+'manip_pt_b+c'!#REF!+'manip_pt_t+m'!#REF!+manip_pt_rail!#REF!+manip_pt_air_dom!#REF!+manip_pt_air_intra!#REF!+manip_pt_air_extra!#REF!</f>
        <v>#REF!</v>
      </c>
      <c r="AB14" s="28" t="e">
        <f>manip_pt_pc!#REF!+'manip_pt_b+c'!#REF!+'manip_pt_t+m'!#REF!+manip_pt_rail!#REF!+manip_pt_air_dom!#REF!+manip_pt_air_intra!#REF!+manip_pt_air_extra!#REF!</f>
        <v>#REF!</v>
      </c>
      <c r="AC14" s="28" t="e">
        <f>manip_pt_pc!#REF!+'manip_pt_b+c'!#REF!+'manip_pt_t+m'!#REF!+manip_pt_rail!#REF!+manip_pt_air_dom!#REF!+manip_pt_air_intra!#REF!+manip_pt_air_extra!#REF!</f>
        <v>#REF!</v>
      </c>
      <c r="AD14" s="28" t="e">
        <f>manip_pt_pc!#REF!+'manip_pt_b+c'!#REF!+'manip_pt_t+m'!#REF!+manip_pt_rail!#REF!+manip_pt_air_dom!#REF!+manip_pt_air_intra!#REF!+manip_pt_air_extra!#REF!</f>
        <v>#REF!</v>
      </c>
      <c r="AE14" s="28" t="e">
        <f>manip_pt_pc!#REF!+'manip_pt_b+c'!#REF!+'manip_pt_t+m'!#REF!+manip_pt_rail!#REF!+manip_pt_air_dom!#REF!+manip_pt_air_intra!#REF!+manip_pt_air_extra!#REF!</f>
        <v>#REF!</v>
      </c>
      <c r="AF14" s="28" t="e">
        <f>manip_pt_pc!#REF!+'manip_pt_b+c'!#REF!+'manip_pt_t+m'!#REF!+manip_pt_rail!#REF!+manip_pt_air_dom!#REF!+manip_pt_air_intra!#REF!+manip_pt_air_extra!#REF!</f>
        <v>#REF!</v>
      </c>
      <c r="AG14" s="28" t="e">
        <f>manip_pt_pc!#REF!+'manip_pt_b+c'!#REF!+'manip_pt_t+m'!#REF!+manip_pt_rail!#REF!+manip_pt_air_dom!#REF!+manip_pt_air_intra!#REF!+manip_pt_air_extra!#REF!</f>
        <v>#REF!</v>
      </c>
      <c r="AH14" s="28" t="e">
        <f>manip_pt_pc!#REF!+'manip_pt_b+c'!#REF!+'manip_pt_t+m'!#REF!+manip_pt_rail!#REF!+manip_pt_air_dom!#REF!+manip_pt_air_intra!#REF!+manip_pt_air_extra!#REF!</f>
        <v>#REF!</v>
      </c>
      <c r="AI14" s="28" t="e">
        <f>manip_pt_pc!#REF!+'manip_pt_b+c'!#REF!+'manip_pt_t+m'!#REF!+manip_pt_rail!#REF!+manip_pt_air_dom!#REF!+manip_pt_air_intra!#REF!+manip_pt_air_extra!#REF!</f>
        <v>#REF!</v>
      </c>
      <c r="AK14" s="53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U14" s="53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</row>
    <row r="15" spans="1:89" ht="11.25" customHeight="1" hidden="1" outlineLevel="1">
      <c r="A15" s="53">
        <v>1989</v>
      </c>
      <c r="B15" s="28" t="e">
        <f>+manip_pt_mbike!B14+manip_pt_pc!#REF!+'manip_pt_b+c'!#REF!+'manip_pt_t+m'!#REF!+manip_pt_rail!#REF!+manip_waterborne_pt!#REF!+manip_pt_air_dom!#REF!+manip_pt_air_intra!#REF!+manip_pt_air_extra!#REF!</f>
        <v>#REF!</v>
      </c>
      <c r="C15" s="28" t="e">
        <f>+manip_pt_mbike!C14+manip_pt_pc!#REF!+'manip_pt_b+c'!#REF!+'manip_pt_t+m'!#REF!+manip_pt_rail!#REF!+manip_waterborne_pt!#REF!+manip_pt_air_dom!#REF!+manip_pt_air_intra!#REF!+manip_pt_air_extra!#REF!</f>
        <v>#REF!</v>
      </c>
      <c r="D15" s="28" t="e">
        <f>+manip_pt_mbike!D14+manip_pt_pc!#REF!+'manip_pt_b+c'!#REF!+'manip_pt_t+m'!#REF!+manip_pt_rail!#REF!+manip_waterborne_pt!#REF!+manip_pt_air_dom!#REF!+manip_pt_air_intra!#REF!+manip_pt_air_extra!#REF!</f>
        <v>#REF!</v>
      </c>
      <c r="E15" s="28" t="e">
        <f>+manip_pt_mbike!E14+manip_pt_pc!#REF!+'manip_pt_b+c'!#REF!+'manip_pt_t+m'!#REF!+manip_pt_rail!#REF!+manip_waterborne_pt!#REF!+manip_pt_air_dom!#REF!+manip_pt_air_intra!#REF!+manip_pt_air_extra!#REF!</f>
        <v>#REF!</v>
      </c>
      <c r="F15" s="28" t="e">
        <f>+manip_pt_mbike!F14+manip_pt_pc!#REF!+'manip_pt_b+c'!#REF!+'manip_pt_t+m'!#REF!+manip_pt_rail!#REF!+manip_waterborne_pt!#REF!+manip_pt_air_dom!#REF!+manip_pt_air_intra!#REF!+manip_pt_air_extra!#REF!</f>
        <v>#REF!</v>
      </c>
      <c r="G15" s="28" t="e">
        <f>+manip_pt_mbike!G14+manip_pt_pc!#REF!+'manip_pt_b+c'!#REF!+'manip_pt_t+m'!#REF!+manip_pt_rail!#REF!+manip_waterborne_pt!#REF!+manip_pt_air_dom!#REF!+manip_pt_air_intra!#REF!+manip_pt_air_extra!#REF!</f>
        <v>#REF!</v>
      </c>
      <c r="H15" s="28" t="e">
        <f>+manip_pt_mbike!H14+manip_pt_pc!#REF!+'manip_pt_b+c'!#REF!+'manip_pt_t+m'!#REF!+manip_pt_rail!#REF!+manip_waterborne_pt!#REF!+manip_pt_air_dom!#REF!+manip_pt_air_intra!#REF!+manip_pt_air_extra!#REF!</f>
        <v>#REF!</v>
      </c>
      <c r="I15" s="28" t="e">
        <f>+manip_pt_mbike!I14+manip_pt_pc!#REF!+'manip_pt_b+c'!#REF!+'manip_pt_t+m'!#REF!+manip_pt_rail!#REF!+manip_waterborne_pt!#REF!+manip_pt_air_dom!#REF!+manip_pt_air_intra!#REF!+manip_pt_air_extra!#REF!</f>
        <v>#REF!</v>
      </c>
      <c r="J15" s="28" t="e">
        <f>+manip_pt_mbike!J14+manip_pt_pc!#REF!+'manip_pt_b+c'!#REF!+'manip_pt_t+m'!#REF!+manip_pt_rail!#REF!+manip_waterborne_pt!#REF!+manip_pt_air_dom!#REF!+manip_pt_air_intra!#REF!+manip_pt_air_extra!#REF!</f>
        <v>#REF!</v>
      </c>
      <c r="K15" s="28" t="e">
        <f>+manip_pt_mbike!K14+manip_pt_pc!#REF!+'manip_pt_b+c'!#REF!+'manip_pt_t+m'!#REF!+manip_pt_rail!#REF!+manip_waterborne_pt!#REF!+manip_pt_air_dom!#REF!+manip_pt_air_intra!#REF!+manip_pt_air_extra!#REF!</f>
        <v>#REF!</v>
      </c>
      <c r="L15" s="28" t="e">
        <f>+manip_pt_mbike!L14+manip_pt_pc!#REF!+'manip_pt_b+c'!#REF!+'manip_pt_t+m'!#REF!+manip_pt_rail!#REF!+manip_waterborne_pt!#REF!+manip_pt_air_dom!#REF!+manip_pt_air_intra!#REF!+manip_pt_air_extra!#REF!</f>
        <v>#REF!</v>
      </c>
      <c r="M15" s="28" t="e">
        <f>+manip_pt_mbike!M14+manip_pt_pc!#REF!+'manip_pt_b+c'!#REF!+'manip_pt_t+m'!#REF!+manip_pt_rail!#REF!+manip_waterborne_pt!#REF!+manip_pt_air_dom!#REF!+manip_pt_air_intra!#REF!+manip_pt_air_extra!#REF!</f>
        <v>#REF!</v>
      </c>
      <c r="N15" s="28" t="e">
        <f>+manip_pt_mbike!N14+manip_pt_pc!#REF!+'manip_pt_b+c'!#REF!+'manip_pt_t+m'!#REF!+manip_pt_rail!#REF!+manip_waterborne_pt!#REF!+manip_pt_air_dom!#REF!+manip_pt_air_intra!#REF!+manip_pt_air_extra!#REF!</f>
        <v>#REF!</v>
      </c>
      <c r="O15" s="28" t="e">
        <f>+manip_pt_mbike!O14+manip_pt_pc!#REF!+'manip_pt_b+c'!#REF!+'manip_pt_t+m'!#REF!+manip_pt_rail!#REF!+manip_waterborne_pt!#REF!+manip_pt_air_dom!#REF!+manip_pt_air_intra!#REF!+manip_pt_air_extra!#REF!</f>
        <v>#REF!</v>
      </c>
      <c r="P15" s="28" t="e">
        <f>+manip_pt_mbike!P14+manip_pt_pc!#REF!+'manip_pt_b+c'!#REF!+'manip_pt_t+m'!#REF!+manip_pt_rail!#REF!+manip_waterborne_pt!#REF!+manip_pt_air_dom!#REF!+manip_pt_air_intra!#REF!+manip_pt_air_extra!#REF!</f>
        <v>#REF!</v>
      </c>
      <c r="Q15" s="28" t="e">
        <f>+manip_pt_mbike!Q14+manip_pt_pc!#REF!+'manip_pt_b+c'!#REF!+'manip_pt_t+m'!#REF!+manip_pt_rail!#REF!+manip_waterborne_pt!#REF!+manip_pt_air_dom!#REF!+manip_pt_air_intra!#REF!+manip_pt_air_extra!#REF!</f>
        <v>#REF!</v>
      </c>
      <c r="S15" s="53">
        <v>1989</v>
      </c>
      <c r="T15" s="28" t="e">
        <f>manip_pt_pc!#REF!+'manip_pt_b+c'!#REF!+'manip_pt_t+m'!#REF!+manip_pt_rail!#REF!+manip_pt_air_dom!#REF!+manip_pt_air_intra!#REF!+manip_pt_air_extra!#REF!</f>
        <v>#REF!</v>
      </c>
      <c r="U15" s="28" t="e">
        <f>manip_pt_pc!#REF!+'manip_pt_b+c'!#REF!+'manip_pt_t+m'!#REF!+manip_pt_rail!#REF!+manip_pt_air_dom!#REF!+manip_pt_air_intra!#REF!+manip_pt_air_extra!#REF!</f>
        <v>#REF!</v>
      </c>
      <c r="V15" s="28" t="e">
        <f>manip_pt_pc!#REF!+'manip_pt_b+c'!#REF!+'manip_pt_t+m'!#REF!+manip_pt_rail!#REF!+manip_pt_air_dom!#REF!+manip_pt_air_intra!#REF!+manip_pt_air_extra!#REF!</f>
        <v>#REF!</v>
      </c>
      <c r="W15" s="28" t="e">
        <f>manip_pt_pc!#REF!+'manip_pt_b+c'!#REF!+'manip_pt_t+m'!#REF!+manip_pt_rail!#REF!+manip_pt_air_dom!#REF!+manip_pt_air_intra!#REF!+manip_pt_air_extra!#REF!</f>
        <v>#REF!</v>
      </c>
      <c r="X15" s="28" t="e">
        <f>manip_pt_pc!#REF!+'manip_pt_b+c'!#REF!+'manip_pt_t+m'!#REF!+manip_pt_rail!#REF!+manip_pt_air_dom!#REF!+manip_pt_air_intra!#REF!+manip_pt_air_extra!#REF!</f>
        <v>#REF!</v>
      </c>
      <c r="Y15" s="28" t="e">
        <f>manip_pt_pc!#REF!+'manip_pt_b+c'!#REF!+'manip_pt_t+m'!#REF!+manip_pt_rail!#REF!+manip_pt_air_dom!#REF!+manip_pt_air_intra!#REF!+manip_pt_air_extra!#REF!</f>
        <v>#REF!</v>
      </c>
      <c r="Z15" s="28" t="e">
        <f>manip_pt_pc!#REF!+'manip_pt_b+c'!#REF!+'manip_pt_t+m'!#REF!+manip_pt_rail!#REF!+manip_pt_air_dom!#REF!+manip_pt_air_intra!#REF!+manip_pt_air_extra!#REF!</f>
        <v>#REF!</v>
      </c>
      <c r="AA15" s="28" t="e">
        <f>manip_pt_pc!#REF!+'manip_pt_b+c'!#REF!+'manip_pt_t+m'!#REF!+manip_pt_rail!#REF!+manip_pt_air_dom!#REF!+manip_pt_air_intra!#REF!+manip_pt_air_extra!#REF!</f>
        <v>#REF!</v>
      </c>
      <c r="AB15" s="28" t="e">
        <f>manip_pt_pc!#REF!+'manip_pt_b+c'!#REF!+'manip_pt_t+m'!#REF!+manip_pt_rail!#REF!+manip_pt_air_dom!#REF!+manip_pt_air_intra!#REF!+manip_pt_air_extra!#REF!</f>
        <v>#REF!</v>
      </c>
      <c r="AC15" s="28" t="e">
        <f>manip_pt_pc!#REF!+'manip_pt_b+c'!#REF!+'manip_pt_t+m'!#REF!+manip_pt_rail!#REF!+manip_pt_air_dom!#REF!+manip_pt_air_intra!#REF!+manip_pt_air_extra!#REF!</f>
        <v>#REF!</v>
      </c>
      <c r="AD15" s="28" t="e">
        <f>manip_pt_pc!#REF!+'manip_pt_b+c'!#REF!+'manip_pt_t+m'!#REF!+manip_pt_rail!#REF!+manip_pt_air_dom!#REF!+manip_pt_air_intra!#REF!+manip_pt_air_extra!#REF!</f>
        <v>#REF!</v>
      </c>
      <c r="AE15" s="28" t="e">
        <f>manip_pt_pc!#REF!+'manip_pt_b+c'!#REF!+'manip_pt_t+m'!#REF!+manip_pt_rail!#REF!+manip_pt_air_dom!#REF!+manip_pt_air_intra!#REF!+manip_pt_air_extra!#REF!</f>
        <v>#REF!</v>
      </c>
      <c r="AF15" s="28" t="e">
        <f>manip_pt_pc!#REF!+'manip_pt_b+c'!#REF!+'manip_pt_t+m'!#REF!+manip_pt_rail!#REF!+manip_pt_air_dom!#REF!+manip_pt_air_intra!#REF!+manip_pt_air_extra!#REF!</f>
        <v>#REF!</v>
      </c>
      <c r="AG15" s="28" t="e">
        <f>manip_pt_pc!#REF!+'manip_pt_b+c'!#REF!+'manip_pt_t+m'!#REF!+manip_pt_rail!#REF!+manip_pt_air_dom!#REF!+manip_pt_air_intra!#REF!+manip_pt_air_extra!#REF!</f>
        <v>#REF!</v>
      </c>
      <c r="AH15" s="28" t="e">
        <f>manip_pt_pc!#REF!+'manip_pt_b+c'!#REF!+'manip_pt_t+m'!#REF!+manip_pt_rail!#REF!+manip_pt_air_dom!#REF!+manip_pt_air_intra!#REF!+manip_pt_air_extra!#REF!</f>
        <v>#REF!</v>
      </c>
      <c r="AI15" s="28" t="e">
        <f>manip_pt_pc!#REF!+'manip_pt_b+c'!#REF!+'manip_pt_t+m'!#REF!+manip_pt_rail!#REF!+manip_pt_air_dom!#REF!+manip_pt_air_intra!#REF!+manip_pt_air_extra!#REF!</f>
        <v>#REF!</v>
      </c>
      <c r="AK15" s="53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U15" s="53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ht="11.25" customHeight="1" hidden="1" outlineLevel="1">
      <c r="A16" s="53">
        <v>1990</v>
      </c>
      <c r="B16" s="28" t="e">
        <f>+manip_pt_mbike!#REF!+manip_pt_pc!#REF!+'manip_pt_b+c'!#REF!+'manip_pt_t+m'!B5+manip_pt_rail!#REF!+manip_waterborne_pt!#REF!+manip_pt_air_dom!#REF!+manip_pt_air_intra!#REF!+manip_pt_air_extra!B5</f>
        <v>#REF!</v>
      </c>
      <c r="C16" s="28" t="e">
        <f>+manip_pt_mbike!#REF!+manip_pt_pc!#REF!+'manip_pt_b+c'!#REF!+'manip_pt_t+m'!C5+manip_pt_rail!#REF!+manip_waterborne_pt!#REF!+manip_pt_air_dom!#REF!+manip_pt_air_intra!#REF!+manip_pt_air_extra!C5</f>
        <v>#REF!</v>
      </c>
      <c r="D16" s="28" t="e">
        <f>+manip_pt_mbike!#REF!+manip_pt_pc!#REF!+'manip_pt_b+c'!#REF!+'manip_pt_t+m'!D5+manip_pt_rail!#REF!+manip_waterborne_pt!#REF!+manip_pt_air_dom!#REF!+manip_pt_air_intra!#REF!+manip_pt_air_extra!D5</f>
        <v>#REF!</v>
      </c>
      <c r="E16" s="28" t="e">
        <f>+manip_pt_mbike!#REF!+manip_pt_pc!#REF!+'manip_pt_b+c'!#REF!+'manip_pt_t+m'!E5+manip_pt_rail!#REF!+manip_waterborne_pt!#REF!+manip_pt_air_dom!#REF!+manip_pt_air_intra!#REF!+manip_pt_air_extra!E5</f>
        <v>#REF!</v>
      </c>
      <c r="F16" s="28" t="e">
        <f>+manip_pt_mbike!#REF!+manip_pt_pc!#REF!+'manip_pt_b+c'!#REF!+'manip_pt_t+m'!F5+manip_pt_rail!#REF!+manip_waterborne_pt!#REF!+manip_pt_air_dom!#REF!+manip_pt_air_intra!#REF!+manip_pt_air_extra!F5</f>
        <v>#REF!</v>
      </c>
      <c r="G16" s="28" t="e">
        <f>+manip_pt_mbike!#REF!+manip_pt_pc!#REF!+'manip_pt_b+c'!#REF!+'manip_pt_t+m'!G5+manip_pt_rail!#REF!+manip_waterborne_pt!#REF!+manip_pt_air_dom!#REF!+manip_pt_air_intra!#REF!+manip_pt_air_extra!G5</f>
        <v>#REF!</v>
      </c>
      <c r="H16" s="28" t="e">
        <f>+manip_pt_mbike!#REF!+manip_pt_pc!#REF!+'manip_pt_b+c'!#REF!+'manip_pt_t+m'!H5+manip_pt_rail!#REF!+manip_waterborne_pt!#REF!+manip_pt_air_dom!#REF!+manip_pt_air_intra!#REF!+manip_pt_air_extra!H5</f>
        <v>#REF!</v>
      </c>
      <c r="I16" s="28" t="e">
        <f>+manip_pt_mbike!#REF!+manip_pt_pc!#REF!+'manip_pt_b+c'!#REF!+'manip_pt_t+m'!I5+manip_pt_rail!#REF!+manip_waterborne_pt!#REF!+manip_pt_air_dom!#REF!+manip_pt_air_intra!#REF!+manip_pt_air_extra!I5</f>
        <v>#REF!</v>
      </c>
      <c r="J16" s="28" t="e">
        <f>+manip_pt_mbike!#REF!+manip_pt_pc!#REF!+'manip_pt_b+c'!#REF!+'manip_pt_t+m'!J5+manip_pt_rail!#REF!+manip_waterborne_pt!#REF!+manip_pt_air_dom!#REF!+manip_pt_air_intra!#REF!+manip_pt_air_extra!J5</f>
        <v>#REF!</v>
      </c>
      <c r="K16" s="28" t="e">
        <f>+manip_pt_mbike!#REF!+manip_pt_pc!#REF!+'manip_pt_b+c'!#REF!+'manip_pt_t+m'!K5+manip_pt_rail!#REF!+manip_waterborne_pt!#REF!+manip_pt_air_dom!#REF!+manip_pt_air_intra!#REF!+manip_pt_air_extra!K5</f>
        <v>#REF!</v>
      </c>
      <c r="L16" s="28" t="e">
        <f>+manip_pt_mbike!#REF!+manip_pt_pc!#REF!+'manip_pt_b+c'!#REF!+'manip_pt_t+m'!L5+manip_pt_rail!#REF!+manip_waterborne_pt!#REF!+manip_pt_air_dom!#REF!+manip_pt_air_intra!#REF!+manip_pt_air_extra!L5</f>
        <v>#REF!</v>
      </c>
      <c r="M16" s="28" t="e">
        <f>+manip_pt_mbike!#REF!+manip_pt_pc!#REF!+'manip_pt_b+c'!#REF!+'manip_pt_t+m'!M5+manip_pt_rail!#REF!+manip_waterborne_pt!#REF!+manip_pt_air_dom!#REF!+manip_pt_air_intra!#REF!+manip_pt_air_extra!M5</f>
        <v>#REF!</v>
      </c>
      <c r="N16" s="28" t="e">
        <f>+manip_pt_mbike!#REF!+manip_pt_pc!#REF!+'manip_pt_b+c'!#REF!+'manip_pt_t+m'!N5+manip_pt_rail!#REF!+manip_waterborne_pt!#REF!+manip_pt_air_dom!#REF!+manip_pt_air_intra!#REF!+manip_pt_air_extra!N5</f>
        <v>#REF!</v>
      </c>
      <c r="O16" s="28" t="e">
        <f>+manip_pt_mbike!#REF!+manip_pt_pc!#REF!+'manip_pt_b+c'!#REF!+'manip_pt_t+m'!O5+manip_pt_rail!#REF!+manip_waterborne_pt!#REF!+manip_pt_air_dom!#REF!+manip_pt_air_intra!#REF!+manip_pt_air_extra!O5</f>
        <v>#REF!</v>
      </c>
      <c r="P16" s="28" t="e">
        <f>+manip_pt_mbike!#REF!+manip_pt_pc!#REF!+'manip_pt_b+c'!#REF!+'manip_pt_t+m'!P5+manip_pt_rail!#REF!+manip_waterborne_pt!#REF!+manip_pt_air_dom!#REF!+manip_pt_air_intra!#REF!+manip_pt_air_extra!P5</f>
        <v>#REF!</v>
      </c>
      <c r="Q16" s="28" t="e">
        <f>+manip_pt_mbike!#REF!+manip_pt_pc!#REF!+'manip_pt_b+c'!#REF!+'manip_pt_t+m'!Q5+manip_pt_rail!#REF!+manip_waterborne_pt!#REF!+manip_pt_air_dom!#REF!+manip_pt_air_intra!#REF!+manip_pt_air_extra!Q5</f>
        <v>#REF!</v>
      </c>
      <c r="S16" s="53">
        <v>1990</v>
      </c>
      <c r="T16" s="28" t="e">
        <f>manip_pt_pc!#REF!+'manip_pt_b+c'!#REF!+'manip_pt_t+m'!B5+manip_pt_rail!#REF!+manip_pt_air_dom!#REF!+manip_pt_air_intra!#REF!+manip_pt_air_extra!B5</f>
        <v>#REF!</v>
      </c>
      <c r="U16" s="28" t="e">
        <f>manip_pt_pc!#REF!+'manip_pt_b+c'!#REF!+'manip_pt_t+m'!C5+manip_pt_rail!#REF!+manip_pt_air_dom!#REF!+manip_pt_air_intra!#REF!+manip_pt_air_extra!C5</f>
        <v>#REF!</v>
      </c>
      <c r="V16" s="28" t="e">
        <f>manip_pt_pc!#REF!+'manip_pt_b+c'!#REF!+'manip_pt_t+m'!D5+manip_pt_rail!#REF!+manip_pt_air_dom!#REF!+manip_pt_air_intra!#REF!+manip_pt_air_extra!D5</f>
        <v>#REF!</v>
      </c>
      <c r="W16" s="28" t="e">
        <f>manip_pt_pc!#REF!+'manip_pt_b+c'!#REF!+'manip_pt_t+m'!E5+manip_pt_rail!#REF!+manip_pt_air_dom!#REF!+manip_pt_air_intra!#REF!+manip_pt_air_extra!E5</f>
        <v>#REF!</v>
      </c>
      <c r="X16" s="28" t="e">
        <f>manip_pt_pc!#REF!+'manip_pt_b+c'!#REF!+'manip_pt_t+m'!F5+manip_pt_rail!#REF!+manip_pt_air_dom!#REF!+manip_pt_air_intra!#REF!+manip_pt_air_extra!F5</f>
        <v>#REF!</v>
      </c>
      <c r="Y16" s="28" t="e">
        <f>manip_pt_pc!#REF!+'manip_pt_b+c'!#REF!+'manip_pt_t+m'!G5+manip_pt_rail!#REF!+manip_pt_air_dom!#REF!+manip_pt_air_intra!#REF!+manip_pt_air_extra!G5</f>
        <v>#REF!</v>
      </c>
      <c r="Z16" s="28" t="e">
        <f>manip_pt_pc!#REF!+'manip_pt_b+c'!#REF!+'manip_pt_t+m'!H5+manip_pt_rail!#REF!+manip_pt_air_dom!#REF!+manip_pt_air_intra!#REF!+manip_pt_air_extra!H5</f>
        <v>#REF!</v>
      </c>
      <c r="AA16" s="28" t="e">
        <f>manip_pt_pc!#REF!+'manip_pt_b+c'!#REF!+'manip_pt_t+m'!I5+manip_pt_rail!#REF!+manip_pt_air_dom!#REF!+manip_pt_air_intra!#REF!+manip_pt_air_extra!I5</f>
        <v>#REF!</v>
      </c>
      <c r="AB16" s="28" t="e">
        <f>manip_pt_pc!#REF!+'manip_pt_b+c'!#REF!+'manip_pt_t+m'!J5+manip_pt_rail!#REF!+manip_pt_air_dom!#REF!+manip_pt_air_intra!#REF!+manip_pt_air_extra!J5</f>
        <v>#REF!</v>
      </c>
      <c r="AC16" s="28" t="e">
        <f>manip_pt_pc!#REF!+'manip_pt_b+c'!#REF!+'manip_pt_t+m'!K5+manip_pt_rail!#REF!+manip_pt_air_dom!#REF!+manip_pt_air_intra!#REF!+manip_pt_air_extra!K5</f>
        <v>#REF!</v>
      </c>
      <c r="AD16" s="28" t="e">
        <f>manip_pt_pc!#REF!+'manip_pt_b+c'!#REF!+'manip_pt_t+m'!L5+manip_pt_rail!#REF!+manip_pt_air_dom!#REF!+manip_pt_air_intra!#REF!+manip_pt_air_extra!L5</f>
        <v>#REF!</v>
      </c>
      <c r="AE16" s="28" t="e">
        <f>manip_pt_pc!#REF!+'manip_pt_b+c'!#REF!+'manip_pt_t+m'!M5+manip_pt_rail!#REF!+manip_pt_air_dom!#REF!+manip_pt_air_intra!#REF!+manip_pt_air_extra!M5</f>
        <v>#REF!</v>
      </c>
      <c r="AF16" s="28" t="e">
        <f>manip_pt_pc!#REF!+'manip_pt_b+c'!#REF!+'manip_pt_t+m'!N5+manip_pt_rail!#REF!+manip_pt_air_dom!#REF!+manip_pt_air_intra!#REF!+manip_pt_air_extra!N5</f>
        <v>#REF!</v>
      </c>
      <c r="AG16" s="28" t="e">
        <f>manip_pt_pc!#REF!+'manip_pt_b+c'!#REF!+'manip_pt_t+m'!O5+manip_pt_rail!#REF!+manip_pt_air_dom!#REF!+manip_pt_air_intra!#REF!+manip_pt_air_extra!O5</f>
        <v>#REF!</v>
      </c>
      <c r="AH16" s="28" t="e">
        <f>manip_pt_pc!#REF!+'manip_pt_b+c'!#REF!+'manip_pt_t+m'!P5+manip_pt_rail!#REF!+manip_pt_air_dom!#REF!+manip_pt_air_intra!#REF!+manip_pt_air_extra!P5</f>
        <v>#REF!</v>
      </c>
      <c r="AI16" s="28" t="e">
        <f>manip_pt_pc!#REF!+'manip_pt_b+c'!#REF!+'manip_pt_t+m'!Q5+manip_pt_rail!#REF!+manip_pt_air_dom!#REF!+manip_pt_air_intra!#REF!+manip_pt_air_extra!Q5</f>
        <v>#REF!</v>
      </c>
      <c r="AK16" s="53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U16" s="53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</row>
    <row r="17" spans="1:89" ht="11.25" collapsed="1">
      <c r="A17" s="53">
        <v>1991</v>
      </c>
      <c r="B17" s="28" t="e">
        <f>+manip_pt_mbike!B5+manip_pt_pc!B5+'manip_pt_b+c'!B5+'manip_pt_t+m'!B5+manip_pt_rail!B5+manip_pt_air_dom!B5+manip_pt_air_intra!B5+manip_pt_air_extra!B6</f>
        <v>#N/A</v>
      </c>
      <c r="C17" s="28" t="e">
        <f>+manip_pt_mbike!C5+manip_pt_pc!C5+'manip_pt_b+c'!C5+'manip_pt_t+m'!C5+manip_pt_rail!C5+manip_pt_air_dom!C5+manip_pt_air_intra!C5+manip_pt_air_extra!C6</f>
        <v>#N/A</v>
      </c>
      <c r="D17" s="28" t="e">
        <f>+manip_pt_mbike!D5+manip_pt_pc!D5+'manip_pt_b+c'!D5+'manip_pt_t+m'!D5+manip_pt_rail!D5+manip_pt_air_dom!D5+manip_pt_air_intra!D5+manip_pt_air_extra!D6</f>
        <v>#N/A</v>
      </c>
      <c r="E17" s="28" t="e">
        <f>+manip_pt_mbike!E5+manip_pt_pc!E5+'manip_pt_b+c'!E5+'manip_pt_t+m'!E5+manip_pt_rail!E5+manip_pt_air_dom!E5+manip_pt_air_intra!E5+manip_pt_air_extra!E6</f>
        <v>#N/A</v>
      </c>
      <c r="F17" s="28" t="e">
        <f>+manip_pt_mbike!F5+manip_pt_pc!F5+'manip_pt_b+c'!F5+'manip_pt_t+m'!F5+manip_pt_rail!F5+manip_pt_air_dom!F5+manip_pt_air_intra!F5+manip_pt_air_extra!F6</f>
        <v>#N/A</v>
      </c>
      <c r="G17" s="28" t="e">
        <f>+manip_pt_mbike!G5+manip_pt_pc!G5+'manip_pt_b+c'!G5+'manip_pt_t+m'!G5+manip_pt_rail!G5+manip_pt_air_dom!G5+manip_pt_air_intra!G5+manip_pt_air_extra!G6</f>
        <v>#N/A</v>
      </c>
      <c r="H17" s="28" t="e">
        <f>+manip_pt_mbike!H5+manip_pt_pc!H5+'manip_pt_b+c'!H5+'manip_pt_t+m'!H5+manip_pt_rail!H5+manip_pt_air_dom!H5+manip_pt_air_intra!H5+manip_pt_air_extra!H6</f>
        <v>#N/A</v>
      </c>
      <c r="I17" s="28" t="e">
        <f>+manip_pt_mbike!I5+manip_pt_pc!I5+'manip_pt_b+c'!I5+'manip_pt_t+m'!I5+manip_pt_rail!I5+manip_pt_air_dom!I5+manip_pt_air_intra!I5+manip_pt_air_extra!I6</f>
        <v>#N/A</v>
      </c>
      <c r="J17" s="28" t="e">
        <f>+manip_pt_mbike!J5+manip_pt_pc!J5+'manip_pt_b+c'!J5+'manip_pt_t+m'!J5+manip_pt_rail!J5+manip_pt_air_dom!J5+manip_pt_air_intra!J5+manip_pt_air_extra!J6</f>
        <v>#N/A</v>
      </c>
      <c r="K17" s="28" t="e">
        <f>+manip_pt_mbike!K5+manip_pt_pc!K5+'manip_pt_b+c'!K5+'manip_pt_t+m'!K5+manip_pt_rail!K5+manip_pt_air_dom!K5+manip_pt_air_intra!K5+manip_pt_air_extra!K6</f>
        <v>#N/A</v>
      </c>
      <c r="L17" s="28" t="e">
        <f>+manip_pt_mbike!L5+manip_pt_pc!L5+'manip_pt_b+c'!L5+'manip_pt_t+m'!L5+manip_pt_rail!L5+manip_pt_air_dom!L5+manip_pt_air_intra!L5+manip_pt_air_extra!L6</f>
        <v>#N/A</v>
      </c>
      <c r="M17" s="28" t="e">
        <f>+manip_pt_mbike!M5+manip_pt_pc!M5+'manip_pt_b+c'!M5+'manip_pt_t+m'!M5+manip_pt_rail!M5+manip_pt_air_dom!M5+manip_pt_air_intra!M5+manip_pt_air_extra!M6</f>
        <v>#N/A</v>
      </c>
      <c r="N17" s="28" t="e">
        <f>+manip_pt_mbike!N5+manip_pt_pc!N5+'manip_pt_b+c'!N5+'manip_pt_t+m'!N5+manip_pt_rail!N5+manip_pt_air_dom!N5+manip_pt_air_intra!N5+manip_pt_air_extra!N6</f>
        <v>#N/A</v>
      </c>
      <c r="O17" s="28" t="e">
        <f>+manip_pt_mbike!O5+manip_pt_pc!O5+'manip_pt_b+c'!O5+'manip_pt_t+m'!O5+manip_pt_rail!O5+manip_pt_air_dom!O5+manip_pt_air_intra!O5+manip_pt_air_extra!O6</f>
        <v>#N/A</v>
      </c>
      <c r="P17" s="28" t="e">
        <f>+manip_pt_mbike!P5+manip_pt_pc!P5+'manip_pt_b+c'!P5+'manip_pt_t+m'!P5+manip_pt_rail!P5+manip_pt_air_dom!P5+manip_pt_air_intra!P5+manip_pt_air_extra!P6</f>
        <v>#N/A</v>
      </c>
      <c r="Q17" s="28" t="e">
        <f>+manip_pt_mbike!Q5+manip_pt_pc!Q5+'manip_pt_b+c'!Q5+'manip_pt_t+m'!Q5+manip_pt_rail!Q5+manip_pt_air_dom!Q5+manip_pt_air_intra!Q5+manip_pt_air_extra!Q6</f>
        <v>#N/A</v>
      </c>
      <c r="S17" s="53">
        <v>1991</v>
      </c>
      <c r="T17" s="28">
        <f>manip_pt_pc!B5+'manip_pt_b+c'!B5+'manip_pt_t+m'!B5+manip_pt_rail!B5+manip_pt_air_dom!B5+manip_pt_air_intra!B5+manip_pt_air_extra!B5</f>
        <v>4092.4578526051264</v>
      </c>
      <c r="U17" s="28">
        <f>manip_pt_pc!C5+'manip_pt_b+c'!C5+'manip_pt_t+m'!C5+manip_pt_rail!C5+manip_pt_air_dom!C5+manip_pt_air_intra!C5+manip_pt_air_extra!C5</f>
        <v>109.211014</v>
      </c>
      <c r="V17" s="28">
        <f>manip_pt_pc!D5+'manip_pt_b+c'!D5+'manip_pt_t+m'!D5+manip_pt_rail!D5+manip_pt_air_dom!D5+manip_pt_air_intra!D5+manip_pt_air_extra!D5</f>
        <v>66.73683542857142</v>
      </c>
      <c r="W17" s="28">
        <f>manip_pt_pc!E5+'manip_pt_b+c'!E5+'manip_pt_t+m'!E5+manip_pt_rail!E5+manip_pt_air_dom!E5+manip_pt_air_intra!E5+manip_pt_air_extra!E5</f>
        <v>897.036321</v>
      </c>
      <c r="X17" s="28">
        <f>manip_pt_pc!F5+'manip_pt_b+c'!F5+'manip_pt_t+m'!F5+manip_pt_rail!F5+manip_pt_air_dom!F5+manip_pt_air_intra!F5+manip_pt_air_extra!F5</f>
        <v>34.575365999999995</v>
      </c>
      <c r="Y17" s="28">
        <f>manip_pt_pc!G5+'manip_pt_b+c'!G5+'manip_pt_t+m'!G5+manip_pt_rail!G5+manip_pt_air_dom!G5+manip_pt_air_intra!G5+manip_pt_air_extra!G5</f>
        <v>258.749663</v>
      </c>
      <c r="Z17" s="28">
        <f>manip_pt_pc!H5+'manip_pt_b+c'!H5+'manip_pt_t+m'!H5+manip_pt_rail!H5+manip_pt_air_dom!H5+manip_pt_air_intra!H5+manip_pt_air_extra!H5</f>
        <v>755.387036</v>
      </c>
      <c r="AA17" s="28">
        <f>manip_pt_pc!I5+'manip_pt_b+c'!I5+'manip_pt_t+m'!I5+manip_pt_rail!I5+manip_pt_air_dom!I5+manip_pt_air_intra!I5+manip_pt_air_extra!I5</f>
        <v>28.838102999999997</v>
      </c>
      <c r="AB17" s="28">
        <f>manip_pt_pc!J5+'manip_pt_b+c'!J5+'manip_pt_t+m'!J5+manip_pt_rail!J5+manip_pt_air_dom!J5+manip_pt_air_intra!J5+manip_pt_air_extra!J5</f>
        <v>692.246336</v>
      </c>
      <c r="AC17" s="28">
        <f>manip_pt_pc!K5+'manip_pt_b+c'!K5+'manip_pt_t+m'!K5+manip_pt_rail!K5+manip_pt_air_dom!K5+manip_pt_air_intra!K5+manip_pt_air_extra!K5</f>
        <v>5.080361009655343</v>
      </c>
      <c r="AD17" s="28">
        <f>manip_pt_pc!L5+'manip_pt_b+c'!L5+'manip_pt_t+m'!L5+manip_pt_rail!L5+manip_pt_air_dom!L5+manip_pt_air_intra!L5+manip_pt_air_extra!L5</f>
        <v>175.610745</v>
      </c>
      <c r="AE17" s="28">
        <f>manip_pt_pc!M5+'manip_pt_b+c'!M5+'manip_pt_t+m'!M5+manip_pt_rail!M5+manip_pt_air_dom!M5+manip_pt_air_intra!M5+manip_pt_air_extra!M5</f>
        <v>93.757713</v>
      </c>
      <c r="AF17" s="28">
        <f>manip_pt_pc!N5+'manip_pt_b+c'!N5+'manip_pt_t+m'!N5+manip_pt_rail!N5+manip_pt_air_dom!N5+manip_pt_air_intra!N5+manip_pt_air_extra!N5</f>
        <v>67.31599200000001</v>
      </c>
      <c r="AG17" s="28">
        <f>manip_pt_pc!O5+'manip_pt_b+c'!O5+'manip_pt_t+m'!O5+manip_pt_rail!O5+manip_pt_air_dom!O5+manip_pt_air_intra!O5+manip_pt_air_extra!O5</f>
        <v>62.503789000000005</v>
      </c>
      <c r="AH17" s="28">
        <f>manip_pt_pc!P5+'manip_pt_b+c'!P5+'manip_pt_t+m'!P5+manip_pt_rail!P5+manip_pt_air_dom!P5+manip_pt_air_intra!P5+manip_pt_air_extra!P5</f>
        <v>113.36202016689892</v>
      </c>
      <c r="AI17" s="28">
        <f>manip_pt_pc!Q5+'manip_pt_b+c'!Q5+'manip_pt_t+m'!Q5+manip_pt_rail!Q5+manip_pt_air_dom!Q5+manip_pt_air_intra!Q5+manip_pt_air_extra!Q5</f>
        <v>732.0465580000001</v>
      </c>
      <c r="AK17" s="53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T17" s="50"/>
      <c r="BU17" s="53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</row>
    <row r="18" spans="1:89" ht="11.25">
      <c r="A18" s="53">
        <v>1992</v>
      </c>
      <c r="B18" s="28" t="e">
        <f>+manip_pt_mbike!B6+manip_pt_pc!B6+'manip_pt_b+c'!B6+'manip_pt_t+m'!B6+manip_pt_rail!B6+manip_pt_air_dom!B6+manip_pt_air_intra!B6+manip_pt_air_extra!B7</f>
        <v>#N/A</v>
      </c>
      <c r="C18" s="28" t="e">
        <f>+manip_pt_mbike!C6+manip_pt_pc!C6+'manip_pt_b+c'!C6+'manip_pt_t+m'!C6+manip_pt_rail!C6+manip_pt_air_dom!C6+manip_pt_air_intra!C6+manip_pt_air_extra!C7</f>
        <v>#N/A</v>
      </c>
      <c r="D18" s="28" t="e">
        <f>+manip_pt_mbike!D6+manip_pt_pc!D6+'manip_pt_b+c'!D6+'manip_pt_t+m'!D6+manip_pt_rail!D6+manip_pt_air_dom!D6+manip_pt_air_intra!D6+manip_pt_air_extra!D7</f>
        <v>#N/A</v>
      </c>
      <c r="E18" s="28" t="e">
        <f>+manip_pt_mbike!E6+manip_pt_pc!E6+'manip_pt_b+c'!E6+'manip_pt_t+m'!E6+manip_pt_rail!E6+manip_pt_air_dom!E6+manip_pt_air_intra!E6+manip_pt_air_extra!E7</f>
        <v>#N/A</v>
      </c>
      <c r="F18" s="28" t="e">
        <f>+manip_pt_mbike!F6+manip_pt_pc!F6+'manip_pt_b+c'!F6+'manip_pt_t+m'!F6+manip_pt_rail!F6+manip_pt_air_dom!F6+manip_pt_air_intra!F6+manip_pt_air_extra!F7</f>
        <v>#N/A</v>
      </c>
      <c r="G18" s="28" t="e">
        <f>+manip_pt_mbike!G6+manip_pt_pc!G6+'manip_pt_b+c'!G6+'manip_pt_t+m'!G6+manip_pt_rail!G6+manip_pt_air_dom!G6+manip_pt_air_intra!G6+manip_pt_air_extra!G7</f>
        <v>#N/A</v>
      </c>
      <c r="H18" s="28" t="e">
        <f>+manip_pt_mbike!H6+manip_pt_pc!H6+'manip_pt_b+c'!H6+'manip_pt_t+m'!H6+manip_pt_rail!H6+manip_pt_air_dom!H6+manip_pt_air_intra!H6+manip_pt_air_extra!H7</f>
        <v>#N/A</v>
      </c>
      <c r="I18" s="28" t="e">
        <f>+manip_pt_mbike!I6+manip_pt_pc!I6+'manip_pt_b+c'!I6+'manip_pt_t+m'!I6+manip_pt_rail!I6+manip_pt_air_dom!I6+manip_pt_air_intra!I6+manip_pt_air_extra!I7</f>
        <v>#N/A</v>
      </c>
      <c r="J18" s="28" t="e">
        <f>+manip_pt_mbike!J6+manip_pt_pc!J6+'manip_pt_b+c'!J6+'manip_pt_t+m'!J6+manip_pt_rail!J6+manip_pt_air_dom!J6+manip_pt_air_intra!J6+manip_pt_air_extra!J7</f>
        <v>#N/A</v>
      </c>
      <c r="K18" s="28" t="e">
        <f>+manip_pt_mbike!K6+manip_pt_pc!K6+'manip_pt_b+c'!K6+'manip_pt_t+m'!K6+manip_pt_rail!K6+manip_pt_air_dom!K6+manip_pt_air_intra!K6+manip_pt_air_extra!K7</f>
        <v>#N/A</v>
      </c>
      <c r="L18" s="28" t="e">
        <f>+manip_pt_mbike!L6+manip_pt_pc!L6+'manip_pt_b+c'!L6+'manip_pt_t+m'!L6+manip_pt_rail!L6+manip_pt_air_dom!L6+manip_pt_air_intra!L6+manip_pt_air_extra!L7</f>
        <v>#N/A</v>
      </c>
      <c r="M18" s="28" t="e">
        <f>+manip_pt_mbike!M6+manip_pt_pc!M6+'manip_pt_b+c'!M6+'manip_pt_t+m'!M6+manip_pt_rail!M6+manip_pt_air_dom!M6+manip_pt_air_intra!M6+manip_pt_air_extra!M7</f>
        <v>#N/A</v>
      </c>
      <c r="N18" s="28" t="e">
        <f>+manip_pt_mbike!N6+manip_pt_pc!N6+'manip_pt_b+c'!N6+'manip_pt_t+m'!N6+manip_pt_rail!N6+manip_pt_air_dom!N6+manip_pt_air_intra!N6+manip_pt_air_extra!N7</f>
        <v>#N/A</v>
      </c>
      <c r="O18" s="28" t="e">
        <f>+manip_pt_mbike!O6+manip_pt_pc!O6+'manip_pt_b+c'!O6+'manip_pt_t+m'!O6+manip_pt_rail!O6+manip_pt_air_dom!O6+manip_pt_air_intra!O6+manip_pt_air_extra!O7</f>
        <v>#N/A</v>
      </c>
      <c r="P18" s="28" t="e">
        <f>+manip_pt_mbike!P6+manip_pt_pc!P6+'manip_pt_b+c'!P6+'manip_pt_t+m'!P6+manip_pt_rail!P6+manip_pt_air_dom!P6+manip_pt_air_intra!P6+manip_pt_air_extra!P7</f>
        <v>#N/A</v>
      </c>
      <c r="Q18" s="28" t="e">
        <f>+manip_pt_mbike!Q6+manip_pt_pc!Q6+'manip_pt_b+c'!Q6+'manip_pt_t+m'!Q6+manip_pt_rail!Q6+manip_pt_air_dom!Q6+manip_pt_air_intra!Q6+manip_pt_air_extra!Q7</f>
        <v>#N/A</v>
      </c>
      <c r="S18" s="53">
        <v>1992</v>
      </c>
      <c r="T18" s="28">
        <f>manip_pt_pc!B6+'manip_pt_b+c'!B6+'manip_pt_t+m'!B6+manip_pt_rail!B6+manip_pt_air_dom!B6+manip_pt_air_intra!B6+manip_pt_air_extra!B6</f>
        <v>4213.417564780688</v>
      </c>
      <c r="U18" s="28">
        <f>manip_pt_pc!C6+'manip_pt_b+c'!C6+'manip_pt_t+m'!C6+manip_pt_rail!C6+manip_pt_air_dom!C6+manip_pt_air_intra!C6+manip_pt_air_extra!C6</f>
        <v>110.08998</v>
      </c>
      <c r="V18" s="28">
        <f>manip_pt_pc!D6+'manip_pt_b+c'!D6+'manip_pt_t+m'!D6+manip_pt_rail!D6+manip_pt_air_dom!D6+manip_pt_air_intra!D6+manip_pt_air_extra!D6</f>
        <v>67.70160542857143</v>
      </c>
      <c r="W18" s="28">
        <f>manip_pt_pc!E6+'manip_pt_b+c'!E6+'manip_pt_t+m'!E6+manip_pt_rail!E6+manip_pt_air_dom!E6+manip_pt_air_intra!E6+manip_pt_air_extra!E6</f>
        <v>916.268277</v>
      </c>
      <c r="X18" s="28">
        <f>manip_pt_pc!F6+'manip_pt_b+c'!F6+'manip_pt_t+m'!F6+manip_pt_rail!F6+manip_pt_air_dom!F6+manip_pt_air_intra!F6+manip_pt_air_extra!F6</f>
        <v>34.851285000000004</v>
      </c>
      <c r="Y18" s="28">
        <f>manip_pt_pc!G6+'manip_pt_b+c'!G6+'manip_pt_t+m'!G6+manip_pt_rail!G6+manip_pt_air_dom!G6+manip_pt_air_intra!G6+manip_pt_air_extra!G6</f>
        <v>271.571515</v>
      </c>
      <c r="Z18" s="28">
        <f>manip_pt_pc!H6+'manip_pt_b+c'!H6+'manip_pt_t+m'!H6+manip_pt_rail!H6+manip_pt_air_dom!H6+manip_pt_air_intra!H6+manip_pt_air_extra!H6</f>
        <v>769.206057</v>
      </c>
      <c r="AA18" s="28">
        <f>manip_pt_pc!I6+'manip_pt_b+c'!I6+'manip_pt_t+m'!I6+manip_pt_rail!I6+manip_pt_air_dom!I6+manip_pt_air_intra!I6+manip_pt_air_extra!I6</f>
        <v>29.112679</v>
      </c>
      <c r="AB18" s="28">
        <f>manip_pt_pc!J6+'manip_pt_b+c'!J6+'manip_pt_t+m'!J6+manip_pt_rail!J6+manip_pt_air_dom!J6+manip_pt_air_intra!J6+manip_pt_air_extra!J6</f>
        <v>744.0932559999999</v>
      </c>
      <c r="AC18" s="28">
        <f>manip_pt_pc!K6+'manip_pt_b+c'!K6+'manip_pt_t+m'!K6+manip_pt_rail!K6+manip_pt_air_dom!K6+manip_pt_air_intra!K6+manip_pt_air_extra!K6</f>
        <v>5.238037067930272</v>
      </c>
      <c r="AD18" s="28">
        <f>manip_pt_pc!L6+'manip_pt_b+c'!L6+'manip_pt_t+m'!L6+manip_pt_rail!L6+manip_pt_air_dom!L6+manip_pt_air_intra!L6+manip_pt_air_extra!L6</f>
        <v>182.04991</v>
      </c>
      <c r="AE18" s="28">
        <f>manip_pt_pc!M6+'manip_pt_b+c'!M6+'manip_pt_t+m'!M6+manip_pt_rail!M6+manip_pt_air_dom!M6+manip_pt_air_intra!M6+manip_pt_air_extra!M6</f>
        <v>93.68807100000001</v>
      </c>
      <c r="AF18" s="28">
        <f>manip_pt_pc!N6+'manip_pt_b+c'!N6+'manip_pt_t+m'!N6+manip_pt_rail!N6+manip_pt_air_dom!N6+manip_pt_air_intra!N6+manip_pt_air_extra!N6</f>
        <v>76.225916</v>
      </c>
      <c r="AG18" s="28">
        <f>manip_pt_pc!O6+'manip_pt_b+c'!O6+'manip_pt_t+m'!O6+manip_pt_rail!O6+manip_pt_air_dom!O6+manip_pt_air_intra!O6+manip_pt_air_extra!O6</f>
        <v>66.337114</v>
      </c>
      <c r="AH18" s="28">
        <f>manip_pt_pc!P6+'manip_pt_b+c'!P6+'manip_pt_t+m'!P6+manip_pt_rail!P6+manip_pt_air_dom!P6+manip_pt_air_intra!P6+manip_pt_air_extra!P6</f>
        <v>114.3573712841853</v>
      </c>
      <c r="AI18" s="28">
        <f>manip_pt_pc!Q6+'manip_pt_b+c'!Q6+'manip_pt_t+m'!Q6+manip_pt_rail!Q6+manip_pt_air_dom!Q6+manip_pt_air_intra!Q6+manip_pt_air_extra!Q6</f>
        <v>732.626491</v>
      </c>
      <c r="AK18" s="53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U18" s="53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</row>
    <row r="19" spans="1:89" ht="11.25">
      <c r="A19" s="53">
        <v>1993</v>
      </c>
      <c r="B19" s="28" t="e">
        <f>+manip_pt_mbike!B7+manip_pt_pc!B7+'manip_pt_b+c'!B7+'manip_pt_t+m'!B7+manip_pt_rail!B7+manip_pt_air_dom!B7+manip_pt_air_intra!B7+manip_pt_air_extra!B8</f>
        <v>#N/A</v>
      </c>
      <c r="C19" s="28" t="e">
        <f>+manip_pt_mbike!C7+manip_pt_pc!C7+'manip_pt_b+c'!C7+'manip_pt_t+m'!C7+manip_pt_rail!C7+manip_pt_air_dom!C7+manip_pt_air_intra!C7+manip_pt_air_extra!C8</f>
        <v>#N/A</v>
      </c>
      <c r="D19" s="28" t="e">
        <f>+manip_pt_mbike!D7+manip_pt_pc!D7+'manip_pt_b+c'!D7+'manip_pt_t+m'!D7+manip_pt_rail!D7+manip_pt_air_dom!D7+manip_pt_air_intra!D7+manip_pt_air_extra!D8</f>
        <v>#N/A</v>
      </c>
      <c r="E19" s="28" t="e">
        <f>+manip_pt_mbike!E7+manip_pt_pc!E7+'manip_pt_b+c'!E7+'manip_pt_t+m'!E7+manip_pt_rail!E7+manip_pt_air_dom!E7+manip_pt_air_intra!E7+manip_pt_air_extra!E8</f>
        <v>#N/A</v>
      </c>
      <c r="F19" s="28" t="e">
        <f>+manip_pt_mbike!F7+manip_pt_pc!F7+'manip_pt_b+c'!F7+'manip_pt_t+m'!F7+manip_pt_rail!F7+manip_pt_air_dom!F7+manip_pt_air_intra!F7+manip_pt_air_extra!F8</f>
        <v>#N/A</v>
      </c>
      <c r="G19" s="28" t="e">
        <f>+manip_pt_mbike!G7+manip_pt_pc!G7+'manip_pt_b+c'!G7+'manip_pt_t+m'!G7+manip_pt_rail!G7+manip_pt_air_dom!G7+manip_pt_air_intra!G7+manip_pt_air_extra!G8</f>
        <v>#N/A</v>
      </c>
      <c r="H19" s="28" t="e">
        <f>+manip_pt_mbike!H7+manip_pt_pc!H7+'manip_pt_b+c'!H7+'manip_pt_t+m'!H7+manip_pt_rail!H7+manip_pt_air_dom!H7+manip_pt_air_intra!H7+manip_pt_air_extra!H8</f>
        <v>#N/A</v>
      </c>
      <c r="I19" s="28" t="e">
        <f>+manip_pt_mbike!I7+manip_pt_pc!I7+'manip_pt_b+c'!I7+'manip_pt_t+m'!I7+manip_pt_rail!I7+manip_pt_air_dom!I7+manip_pt_air_intra!I7+manip_pt_air_extra!I8</f>
        <v>#N/A</v>
      </c>
      <c r="J19" s="28" t="e">
        <f>+manip_pt_mbike!J7+manip_pt_pc!J7+'manip_pt_b+c'!J7+'manip_pt_t+m'!J7+manip_pt_rail!J7+manip_pt_air_dom!J7+manip_pt_air_intra!J7+manip_pt_air_extra!J8</f>
        <v>#N/A</v>
      </c>
      <c r="K19" s="28" t="e">
        <f>+manip_pt_mbike!K7+manip_pt_pc!K7+'manip_pt_b+c'!K7+'manip_pt_t+m'!K7+manip_pt_rail!K7+manip_pt_air_dom!K7+manip_pt_air_intra!K7+manip_pt_air_extra!K8</f>
        <v>#N/A</v>
      </c>
      <c r="L19" s="28" t="e">
        <f>+manip_pt_mbike!L7+manip_pt_pc!L7+'manip_pt_b+c'!L7+'manip_pt_t+m'!L7+manip_pt_rail!L7+manip_pt_air_dom!L7+manip_pt_air_intra!L7+manip_pt_air_extra!L8</f>
        <v>#N/A</v>
      </c>
      <c r="M19" s="28" t="e">
        <f>+manip_pt_mbike!M7+manip_pt_pc!M7+'manip_pt_b+c'!M7+'manip_pt_t+m'!M7+manip_pt_rail!M7+manip_pt_air_dom!M7+manip_pt_air_intra!M7+manip_pt_air_extra!M8</f>
        <v>#N/A</v>
      </c>
      <c r="N19" s="28" t="e">
        <f>+manip_pt_mbike!N7+manip_pt_pc!N7+'manip_pt_b+c'!N7+'manip_pt_t+m'!N7+manip_pt_rail!N7+manip_pt_air_dom!N7+manip_pt_air_intra!N7+manip_pt_air_extra!N8</f>
        <v>#N/A</v>
      </c>
      <c r="O19" s="28" t="e">
        <f>+manip_pt_mbike!O7+manip_pt_pc!O7+'manip_pt_b+c'!O7+'manip_pt_t+m'!O7+manip_pt_rail!O7+manip_pt_air_dom!O7+manip_pt_air_intra!O7+manip_pt_air_extra!O8</f>
        <v>#N/A</v>
      </c>
      <c r="P19" s="28" t="e">
        <f>+manip_pt_mbike!P7+manip_pt_pc!P7+'manip_pt_b+c'!P7+'manip_pt_t+m'!P7+manip_pt_rail!P7+manip_pt_air_dom!P7+manip_pt_air_intra!P7+manip_pt_air_extra!P8</f>
        <v>#N/A</v>
      </c>
      <c r="Q19" s="28" t="e">
        <f>+manip_pt_mbike!Q7+manip_pt_pc!Q7+'manip_pt_b+c'!Q7+'manip_pt_t+m'!Q7+manip_pt_rail!Q7+manip_pt_air_dom!Q7+manip_pt_air_intra!Q7+manip_pt_air_extra!Q8</f>
        <v>#N/A</v>
      </c>
      <c r="S19" s="53">
        <v>1993</v>
      </c>
      <c r="T19" s="28">
        <f>manip_pt_pc!B7+'manip_pt_b+c'!B7+'manip_pt_t+m'!B7+manip_pt_rail!B7+manip_pt_air_dom!B7+manip_pt_air_intra!B7+manip_pt_air_extra!B7</f>
        <v>4263.502692141328</v>
      </c>
      <c r="U19" s="28">
        <f>manip_pt_pc!C7+'manip_pt_b+c'!C7+'manip_pt_t+m'!C7+manip_pt_rail!C7+manip_pt_air_dom!C7+manip_pt_air_intra!C7+manip_pt_air_extra!C7</f>
        <v>112.55044500000001</v>
      </c>
      <c r="V19" s="28">
        <f>manip_pt_pc!D7+'manip_pt_b+c'!D7+'manip_pt_t+m'!D7+manip_pt_rail!D7+manip_pt_air_dom!D7+manip_pt_air_intra!D7+manip_pt_air_extra!D7</f>
        <v>68.26804457142858</v>
      </c>
      <c r="W19" s="28">
        <f>manip_pt_pc!E7+'manip_pt_b+c'!E7+'manip_pt_t+m'!E7+manip_pt_rail!E7+manip_pt_air_dom!E7+manip_pt_air_intra!E7+manip_pt_air_extra!E7</f>
        <v>931.271734</v>
      </c>
      <c r="X19" s="28">
        <f>manip_pt_pc!F7+'manip_pt_b+c'!F7+'manip_pt_t+m'!F7+manip_pt_rail!F7+manip_pt_air_dom!F7+manip_pt_air_intra!F7+manip_pt_air_extra!F7</f>
        <v>36.653766999999995</v>
      </c>
      <c r="Y19" s="28">
        <f>manip_pt_pc!G7+'manip_pt_b+c'!G7+'manip_pt_t+m'!G7+manip_pt_rail!G7+manip_pt_air_dom!G7+manip_pt_air_intra!G7+manip_pt_air_extra!G7</f>
        <v>278.304072</v>
      </c>
      <c r="Z19" s="28">
        <f>manip_pt_pc!H7+'manip_pt_b+c'!H7+'manip_pt_t+m'!H7+manip_pt_rail!H7+manip_pt_air_dom!H7+manip_pt_air_intra!H7+manip_pt_air_extra!H7</f>
        <v>782.659995</v>
      </c>
      <c r="AA19" s="28">
        <f>manip_pt_pc!I7+'manip_pt_b+c'!I7+'manip_pt_t+m'!I7+manip_pt_rail!I7+manip_pt_air_dom!I7+manip_pt_air_intra!I7+manip_pt_air_extra!I7</f>
        <v>30.228432000000005</v>
      </c>
      <c r="AB19" s="28">
        <f>manip_pt_pc!J7+'manip_pt_b+c'!J7+'manip_pt_t+m'!J7+manip_pt_rail!J7+manip_pt_air_dom!J7+manip_pt_air_intra!J7+manip_pt_air_extra!J7</f>
        <v>740.9864709999999</v>
      </c>
      <c r="AC19" s="28">
        <f>manip_pt_pc!K7+'manip_pt_b+c'!K7+'manip_pt_t+m'!K7+manip_pt_rail!K7+manip_pt_air_dom!K7+manip_pt_air_intra!K7+manip_pt_air_extra!K7</f>
        <v>5.452451000000001</v>
      </c>
      <c r="AD19" s="28">
        <f>manip_pt_pc!L7+'manip_pt_b+c'!L7+'manip_pt_t+m'!L7+manip_pt_rail!L7+manip_pt_air_dom!L7+manip_pt_air_intra!L7+manip_pt_air_extra!L7</f>
        <v>183.27412999999996</v>
      </c>
      <c r="AE19" s="28">
        <f>manip_pt_pc!M7+'manip_pt_b+c'!M7+'manip_pt_t+m'!M7+manip_pt_rail!M7+manip_pt_air_dom!M7+manip_pt_air_intra!M7+manip_pt_air_extra!M7</f>
        <v>93.75083799999999</v>
      </c>
      <c r="AF19" s="28">
        <f>manip_pt_pc!N7+'manip_pt_b+c'!N7+'manip_pt_t+m'!N7+manip_pt_rail!N7+manip_pt_air_dom!N7+manip_pt_air_intra!N7+manip_pt_air_extra!N7</f>
        <v>79.020725</v>
      </c>
      <c r="AG19" s="28">
        <f>manip_pt_pc!O7+'manip_pt_b+c'!O7+'manip_pt_t+m'!O7+manip_pt_rail!O7+manip_pt_air_dom!O7+manip_pt_air_intra!O7+manip_pt_air_extra!O7</f>
        <v>65.736659</v>
      </c>
      <c r="AH19" s="28">
        <f>manip_pt_pc!P7+'manip_pt_b+c'!P7+'manip_pt_t+m'!P7+manip_pt_rail!P7+manip_pt_air_dom!P7+manip_pt_air_intra!P7+manip_pt_air_extra!P7</f>
        <v>113.94124056990012</v>
      </c>
      <c r="AI19" s="28">
        <f>manip_pt_pc!Q7+'manip_pt_b+c'!Q7+'manip_pt_t+m'!Q7+manip_pt_rail!Q7+manip_pt_air_dom!Q7+manip_pt_air_intra!Q7+manip_pt_air_extra!Q7</f>
        <v>741.403688</v>
      </c>
      <c r="AK19" s="53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U19" s="53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</row>
    <row r="20" spans="1:89" ht="11.25">
      <c r="A20" s="53">
        <v>1994</v>
      </c>
      <c r="B20" s="28">
        <f>+manip_pt_mbike!B8+manip_pt_pc!B8+'manip_pt_b+c'!B8+'manip_pt_t+m'!B8+manip_pt_rail!B8+manip_pt_air_dom!B8+manip_pt_air_intra!B8+manip_pt_air_extra!B9</f>
        <v>4486.865340479007</v>
      </c>
      <c r="C20" s="28">
        <f>+manip_pt_mbike!C8+manip_pt_pc!C8+'manip_pt_b+c'!C8+'manip_pt_t+m'!C8+manip_pt_rail!C8+manip_pt_air_dom!C8+manip_pt_air_intra!C8+manip_pt_air_extra!C9</f>
        <v>117.744971</v>
      </c>
      <c r="D20" s="28">
        <f>+manip_pt_mbike!D8+manip_pt_pc!D8+'manip_pt_b+c'!D8+'manip_pt_t+m'!D8+manip_pt_rail!D8+manip_pt_air_dom!D8+manip_pt_air_intra!D8+manip_pt_air_extra!D9</f>
        <v>69.78490085714287</v>
      </c>
      <c r="E20" s="28">
        <f>+manip_pt_mbike!E8+manip_pt_pc!E8+'manip_pt_b+c'!E8+'manip_pt_t+m'!E8+manip_pt_rail!E8+manip_pt_air_dom!E8+manip_pt_air_intra!E8+manip_pt_air_extra!E9</f>
        <v>941.7719410000001</v>
      </c>
      <c r="F20" s="28">
        <f>+manip_pt_mbike!F8+manip_pt_pc!F8+'manip_pt_b+c'!F8+'manip_pt_t+m'!F8+manip_pt_rail!F8+manip_pt_air_dom!F8+manip_pt_air_intra!F8+manip_pt_air_extra!F9</f>
        <v>52.30053900000001</v>
      </c>
      <c r="G20" s="28">
        <f>+manip_pt_mbike!G8+manip_pt_pc!G8+'manip_pt_b+c'!G8+'manip_pt_t+m'!G8+manip_pt_rail!G8+manip_pt_air_dom!G8+manip_pt_air_intra!G8+manip_pt_air_extra!G9</f>
        <v>298.58757699999995</v>
      </c>
      <c r="H20" s="28">
        <f>+manip_pt_mbike!H8+manip_pt_pc!H8+'manip_pt_b+c'!H8+'manip_pt_t+m'!H8+manip_pt_rail!H8+manip_pt_air_dom!H8+manip_pt_air_intra!H8+manip_pt_air_extra!H9</f>
        <v>825.447396</v>
      </c>
      <c r="I20" s="28">
        <f>+manip_pt_mbike!I8+manip_pt_pc!I8+'manip_pt_b+c'!I8+'manip_pt_t+m'!I8+manip_pt_rail!I8+manip_pt_air_dom!I8+manip_pt_air_intra!I8+manip_pt_air_extra!I9</f>
        <v>32.680545</v>
      </c>
      <c r="J20" s="28">
        <f>+manip_pt_mbike!J8+manip_pt_pc!J8+'manip_pt_b+c'!J8+'manip_pt_t+m'!J8+manip_pt_rail!J8+manip_pt_air_dom!J8+manip_pt_air_intra!J8+manip_pt_air_extra!J9</f>
        <v>814.638295</v>
      </c>
      <c r="K20" s="28">
        <f>+manip_pt_mbike!K8+manip_pt_pc!K8+'manip_pt_b+c'!K8+'manip_pt_t+m'!K8+manip_pt_rail!K8+manip_pt_air_dom!K8+manip_pt_air_intra!K8+manip_pt_air_extra!K9</f>
        <v>5.71015</v>
      </c>
      <c r="L20" s="28">
        <f>+manip_pt_mbike!L8+manip_pt_pc!L8+'manip_pt_b+c'!L8+'manip_pt_t+m'!L8+manip_pt_rail!L8+manip_pt_air_dom!L8+manip_pt_air_intra!L8+manip_pt_air_extra!L9</f>
        <v>196.416608</v>
      </c>
      <c r="M20" s="28">
        <f>+manip_pt_mbike!M8+manip_pt_pc!M8+'manip_pt_b+c'!M8+'manip_pt_t+m'!M8+manip_pt_rail!M8+manip_pt_air_dom!M8+manip_pt_air_intra!M8+manip_pt_air_extra!M9</f>
        <v>96.14702100000001</v>
      </c>
      <c r="N20" s="28">
        <f>+manip_pt_mbike!N8+manip_pt_pc!N8+'manip_pt_b+c'!N8+'manip_pt_t+m'!N8+manip_pt_rail!N8+manip_pt_air_dom!N8+manip_pt_air_intra!N8+manip_pt_air_extra!N9</f>
        <v>87.45596800000001</v>
      </c>
      <c r="O20" s="28">
        <f>+manip_pt_mbike!O8+manip_pt_pc!O8+'manip_pt_b+c'!O8+'manip_pt_t+m'!O8+manip_pt_rail!O8+manip_pt_air_dom!O8+manip_pt_air_intra!O8+manip_pt_air_extra!O9</f>
        <v>68.384152</v>
      </c>
      <c r="P20" s="28">
        <f>+manip_pt_mbike!P8+manip_pt_pc!P8+'manip_pt_b+c'!P8+'manip_pt_t+m'!P8+manip_pt_rail!P8+manip_pt_air_dom!P8+manip_pt_air_intra!P8+manip_pt_air_extra!P9</f>
        <v>116.49766962186308</v>
      </c>
      <c r="Q20" s="28">
        <f>+manip_pt_mbike!Q8+manip_pt_pc!Q8+'manip_pt_b+c'!Q8+'manip_pt_t+m'!Q8+manip_pt_rail!Q8+manip_pt_air_dom!Q8+manip_pt_air_intra!Q8+manip_pt_air_extra!Q9</f>
        <v>763.297607</v>
      </c>
      <c r="S20" s="53">
        <v>1994</v>
      </c>
      <c r="T20" s="28">
        <f>manip_pt_pc!B8+'manip_pt_b+c'!B8+'manip_pt_t+m'!B8+manip_pt_rail!B8+manip_pt_air_dom!B8+manip_pt_air_intra!B8+manip_pt_air_extra!B8</f>
        <v>4340.419975479005</v>
      </c>
      <c r="U20" s="28">
        <f>manip_pt_pc!C8+'manip_pt_b+c'!C8+'manip_pt_t+m'!C8+manip_pt_rail!C8+manip_pt_air_dom!C8+manip_pt_air_intra!C8+manip_pt_air_extra!C8</f>
        <v>115.786338</v>
      </c>
      <c r="V20" s="28">
        <f>manip_pt_pc!D8+'manip_pt_b+c'!D8+'manip_pt_t+m'!D8+manip_pt_rail!D8+manip_pt_air_dom!D8+manip_pt_air_intra!D8+manip_pt_air_extra!D8</f>
        <v>69.36030885714287</v>
      </c>
      <c r="W20" s="28">
        <f>manip_pt_pc!E8+'manip_pt_b+c'!E8+'manip_pt_t+m'!E8+manip_pt_rail!E8+manip_pt_air_dom!E8+manip_pt_air_intra!E8+manip_pt_air_extra!E8</f>
        <v>926.09891</v>
      </c>
      <c r="X20" s="28">
        <f>manip_pt_pc!F8+'manip_pt_b+c'!F8+'manip_pt_t+m'!F8+manip_pt_rail!F8+manip_pt_air_dom!F8+manip_pt_air_intra!F8+manip_pt_air_extra!F8</f>
        <v>40.256390999999994</v>
      </c>
      <c r="Y20" s="28">
        <f>manip_pt_pc!G8+'manip_pt_b+c'!G8+'manip_pt_t+m'!G8+manip_pt_rail!G8+manip_pt_air_dom!G8+manip_pt_air_intra!G8+manip_pt_air_extra!G8</f>
        <v>284.88620299999997</v>
      </c>
      <c r="Z20" s="28">
        <f>manip_pt_pc!H8+'manip_pt_b+c'!H8+'manip_pt_t+m'!H8+manip_pt_rail!H8+manip_pt_air_dom!H8+manip_pt_air_intra!H8+manip_pt_air_extra!H8</f>
        <v>807.089166</v>
      </c>
      <c r="AA20" s="28">
        <f>manip_pt_pc!I8+'manip_pt_b+c'!I8+'manip_pt_t+m'!I8+manip_pt_rail!I8+manip_pt_air_dom!I8+manip_pt_air_intra!I8+manip_pt_air_extra!I8</f>
        <v>31.821022000000003</v>
      </c>
      <c r="AB20" s="28">
        <f>manip_pt_pc!J8+'manip_pt_b+c'!J8+'manip_pt_t+m'!J8+manip_pt_rail!J8+manip_pt_air_dom!J8+manip_pt_air_intra!J8+manip_pt_air_extra!J8</f>
        <v>754.7108189999999</v>
      </c>
      <c r="AC20" s="28">
        <f>manip_pt_pc!K8+'manip_pt_b+c'!K8+'manip_pt_t+m'!K8+manip_pt_rail!K8+manip_pt_air_dom!K8+manip_pt_air_intra!K8+manip_pt_air_extra!K8</f>
        <v>5.65015</v>
      </c>
      <c r="AD20" s="28">
        <f>manip_pt_pc!L8+'manip_pt_b+c'!L8+'manip_pt_t+m'!L8+manip_pt_rail!L8+manip_pt_air_dom!L8+manip_pt_air_intra!L8+manip_pt_air_extra!L8</f>
        <v>190.389339</v>
      </c>
      <c r="AE20" s="28">
        <f>manip_pt_pc!M8+'manip_pt_b+c'!M8+'manip_pt_t+m'!M8+manip_pt_rail!M8+manip_pt_air_dom!M8+manip_pt_air_intra!M8+manip_pt_air_extra!M8</f>
        <v>94.53127300000001</v>
      </c>
      <c r="AF20" s="28">
        <f>manip_pt_pc!N8+'manip_pt_b+c'!N8+'manip_pt_t+m'!N8+manip_pt_rail!N8+manip_pt_air_dom!N8+manip_pt_air_intra!N8+manip_pt_air_extra!N8</f>
        <v>82.83151500000001</v>
      </c>
      <c r="AG20" s="28">
        <f>manip_pt_pc!O8+'manip_pt_b+c'!O8+'manip_pt_t+m'!O8+manip_pt_rail!O8+manip_pt_air_dom!O8+manip_pt_air_intra!O8+manip_pt_air_extra!O8</f>
        <v>67.14961500000001</v>
      </c>
      <c r="AH20" s="28">
        <f>manip_pt_pc!P8+'manip_pt_b+c'!P8+'manip_pt_t+m'!P8+manip_pt_rail!P8+manip_pt_air_dom!P8+manip_pt_air_intra!P8+manip_pt_air_extra!P8</f>
        <v>115.8361896218631</v>
      </c>
      <c r="AI20" s="28">
        <f>manip_pt_pc!Q8+'manip_pt_b+c'!Q8+'manip_pt_t+m'!Q8+manip_pt_rail!Q8+manip_pt_air_dom!Q8+manip_pt_air_intra!Q8+manip_pt_air_extra!Q8</f>
        <v>754.022736</v>
      </c>
      <c r="AK20" s="53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U20" s="53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</row>
    <row r="21" spans="1:89" ht="11.25">
      <c r="A21" s="53">
        <v>1995</v>
      </c>
      <c r="B21" s="28">
        <f>+manip_pt_mbike!B9+manip_pt_pc!B9+'manip_pt_b+c'!B9+'manip_pt_t+m'!B9+manip_pt_rail!B9+manip_pt_air_dom!B9+manip_pt_air_intra!B9+manip_pt_air_extra!B10</f>
        <v>4582.265821776545</v>
      </c>
      <c r="C21" s="28">
        <f>+manip_pt_mbike!C9+manip_pt_pc!C9+'manip_pt_b+c'!C9+'manip_pt_t+m'!C9+manip_pt_rail!C9+manip_pt_air_dom!C9+manip_pt_air_intra!C9+manip_pt_air_extra!C10</f>
        <v>128.05682199999998</v>
      </c>
      <c r="D21" s="28">
        <f>+manip_pt_mbike!D9+manip_pt_pc!D9+'manip_pt_b+c'!D9+'manip_pt_t+m'!D9+manip_pt_rail!D9+manip_pt_air_dom!D9+manip_pt_air_intra!D9+manip_pt_air_extra!D10</f>
        <v>71.50243742857143</v>
      </c>
      <c r="E21" s="28">
        <f>+manip_pt_mbike!E9+manip_pt_pc!E9+'manip_pt_b+c'!E9+'manip_pt_t+m'!E9+manip_pt_rail!E9+manip_pt_air_dom!E9+manip_pt_air_intra!E9+manip_pt_air_extra!E10</f>
        <v>970.8329019575475</v>
      </c>
      <c r="F21" s="28">
        <f>+manip_pt_mbike!F9+manip_pt_pc!F9+'manip_pt_b+c'!F9+'manip_pt_t+m'!F9+manip_pt_rail!F9+manip_pt_air_dom!F9+manip_pt_air_intra!F9+manip_pt_air_extra!F10</f>
        <v>54.88500899999999</v>
      </c>
      <c r="G21" s="28">
        <f>+manip_pt_mbike!G9+manip_pt_pc!G9+'manip_pt_b+c'!G9+'manip_pt_t+m'!G9+manip_pt_rail!G9+manip_pt_air_dom!G9+manip_pt_air_intra!G9+manip_pt_air_extra!G10</f>
        <v>308.11348899999996</v>
      </c>
      <c r="H21" s="28">
        <f>+manip_pt_mbike!H9+manip_pt_pc!H9+'manip_pt_b+c'!H9+'manip_pt_t+m'!H9+manip_pt_rail!H9+manip_pt_air_dom!H9+manip_pt_air_intra!H9+manip_pt_air_extra!H10</f>
        <v>808.4783809999999</v>
      </c>
      <c r="I21" s="28">
        <f>+manip_pt_mbike!I9+manip_pt_pc!I9+'manip_pt_b+c'!I9+'manip_pt_t+m'!I9+manip_pt_rail!I9+manip_pt_air_dom!I9+manip_pt_air_intra!I9+manip_pt_air_extra!I10</f>
        <v>34.64179</v>
      </c>
      <c r="J21" s="28">
        <f>+manip_pt_mbike!J9+manip_pt_pc!J9+'manip_pt_b+c'!J9+'manip_pt_t+m'!J9+manip_pt_rail!J9+manip_pt_air_dom!J9+manip_pt_air_intra!J9+manip_pt_air_extra!J10</f>
        <v>842.653753</v>
      </c>
      <c r="K21" s="28">
        <f>+manip_pt_mbike!K9+manip_pt_pc!K9+'manip_pt_b+c'!K9+'manip_pt_t+m'!K9+manip_pt_rail!K9+manip_pt_air_dom!K9+manip_pt_air_intra!K9+manip_pt_air_extra!K10</f>
        <v>6.327074</v>
      </c>
      <c r="L21" s="28">
        <f>+manip_pt_mbike!L9+manip_pt_pc!L9+'manip_pt_b+c'!L9+'manip_pt_t+m'!L9+manip_pt_rail!L9+manip_pt_air_dom!L9+manip_pt_air_intra!L9+manip_pt_air_extra!L10</f>
        <v>201.524608</v>
      </c>
      <c r="M21" s="28">
        <f>+manip_pt_mbike!M9+manip_pt_pc!M9+'manip_pt_b+c'!M9+'manip_pt_t+m'!M9+manip_pt_rail!M9+manip_pt_air_dom!M9+manip_pt_air_intra!M9+manip_pt_air_extra!M10</f>
        <v>97.323341</v>
      </c>
      <c r="N21" s="28">
        <f>+manip_pt_mbike!N9+manip_pt_pc!N9+'manip_pt_b+c'!N9+'manip_pt_t+m'!N9+manip_pt_rail!N9+manip_pt_air_dom!N9+manip_pt_air_intra!N9+manip_pt_air_extra!N10</f>
        <v>90.88169099999998</v>
      </c>
      <c r="O21" s="28">
        <f>+manip_pt_mbike!O9+manip_pt_pc!O9+'manip_pt_b+c'!O9+'manip_pt_t+m'!O9+manip_pt_rail!O9+manip_pt_air_dom!O9+manip_pt_air_intra!O9+manip_pt_air_extra!O10</f>
        <v>70.79411999999999</v>
      </c>
      <c r="P21" s="28">
        <f>+manip_pt_mbike!P9+manip_pt_pc!P9+'manip_pt_b+c'!P9+'manip_pt_t+m'!P9+manip_pt_rail!P9+manip_pt_air_dom!P9+manip_pt_air_intra!P9+manip_pt_air_extra!P10</f>
        <v>118.61428439042626</v>
      </c>
      <c r="Q21" s="28">
        <f>+manip_pt_mbike!Q9+manip_pt_pc!Q9+'manip_pt_b+c'!Q9+'manip_pt_t+m'!Q9+manip_pt_rail!Q9+manip_pt_air_dom!Q9+manip_pt_air_intra!Q9+manip_pt_air_extra!Q10</f>
        <v>777.63612</v>
      </c>
      <c r="S21" s="53">
        <v>1995</v>
      </c>
      <c r="T21" s="28">
        <f>manip_pt_pc!B9+'manip_pt_b+c'!B9+'manip_pt_t+m'!B9+manip_pt_rail!B9+manip_pt_air_dom!B9+manip_pt_air_intra!B9+manip_pt_air_extra!B9</f>
        <v>4428.668184776545</v>
      </c>
      <c r="U21" s="28">
        <f>manip_pt_pc!C9+'manip_pt_b+c'!C9+'manip_pt_t+m'!C9+manip_pt_rail!C9+manip_pt_air_dom!C9+manip_pt_air_intra!C9+manip_pt_air_extra!C9</f>
        <v>126.139814</v>
      </c>
      <c r="V21" s="28">
        <f>manip_pt_pc!D9+'manip_pt_b+c'!D9+'manip_pt_t+m'!D9+manip_pt_rail!D9+manip_pt_air_dom!D9+manip_pt_air_intra!D9+manip_pt_air_extra!D9</f>
        <v>71.12206542857143</v>
      </c>
      <c r="W21" s="28">
        <f>manip_pt_pc!E9+'manip_pt_b+c'!E9+'manip_pt_t+m'!E9+manip_pt_rail!E9+manip_pt_air_dom!E9+manip_pt_air_intra!E9+manip_pt_air_extra!E9</f>
        <v>954.3905759575475</v>
      </c>
      <c r="X21" s="28">
        <f>manip_pt_pc!F9+'manip_pt_b+c'!F9+'manip_pt_t+m'!F9+manip_pt_rail!F9+manip_pt_air_dom!F9+manip_pt_air_intra!F9+manip_pt_air_extra!F9</f>
        <v>42.196754</v>
      </c>
      <c r="Y21" s="28">
        <f>manip_pt_pc!G9+'manip_pt_b+c'!G9+'manip_pt_t+m'!G9+manip_pt_rail!G9+manip_pt_air_dom!G9+manip_pt_air_intra!G9+manip_pt_air_extra!G9</f>
        <v>293.506013</v>
      </c>
      <c r="Z21" s="28">
        <f>manip_pt_pc!H9+'manip_pt_b+c'!H9+'manip_pt_t+m'!H9+manip_pt_rail!H9+manip_pt_air_dom!H9+manip_pt_air_intra!H9+manip_pt_air_extra!H9</f>
        <v>788.672794</v>
      </c>
      <c r="AA21" s="28">
        <f>manip_pt_pc!I9+'manip_pt_b+c'!I9+'manip_pt_t+m'!I9+manip_pt_rail!I9+manip_pt_air_dom!I9+manip_pt_air_intra!I9+manip_pt_air_extra!I9</f>
        <v>34.103498</v>
      </c>
      <c r="AB21" s="28">
        <f>manip_pt_pc!J9+'manip_pt_b+c'!J9+'manip_pt_t+m'!J9+manip_pt_rail!J9+manip_pt_air_dom!J9+manip_pt_air_intra!J9+manip_pt_air_extra!J9</f>
        <v>781.533312</v>
      </c>
      <c r="AC21" s="28">
        <f>manip_pt_pc!K9+'manip_pt_b+c'!K9+'manip_pt_t+m'!K9+manip_pt_rail!K9+manip_pt_air_dom!K9+manip_pt_air_intra!K9+manip_pt_air_extra!K9</f>
        <v>6.267074000000001</v>
      </c>
      <c r="AD21" s="28">
        <f>manip_pt_pc!L9+'manip_pt_b+c'!L9+'manip_pt_t+m'!L9+manip_pt_rail!L9+manip_pt_air_dom!L9+manip_pt_air_intra!L9+manip_pt_air_extra!L9</f>
        <v>195.755116</v>
      </c>
      <c r="AE21" s="28">
        <f>manip_pt_pc!M9+'manip_pt_b+c'!M9+'manip_pt_t+m'!M9+manip_pt_rail!M9+manip_pt_air_dom!M9+manip_pt_air_intra!M9+manip_pt_air_extra!M9</f>
        <v>94.822666</v>
      </c>
      <c r="AF21" s="28">
        <f>manip_pt_pc!N9+'manip_pt_b+c'!N9+'manip_pt_t+m'!N9+manip_pt_rail!N9+manip_pt_air_dom!N9+manip_pt_air_intra!N9+manip_pt_air_extra!N9</f>
        <v>85.93655299999999</v>
      </c>
      <c r="AG21" s="28">
        <f>manip_pt_pc!O9+'manip_pt_b+c'!O9+'manip_pt_t+m'!O9+manip_pt_rail!O9+manip_pt_air_dom!O9+manip_pt_air_intra!O9+manip_pt_air_extra!O9</f>
        <v>69.59367300000001</v>
      </c>
      <c r="AH21" s="28">
        <f>manip_pt_pc!P9+'manip_pt_b+c'!P9+'manip_pt_t+m'!P9+manip_pt_rail!P9+manip_pt_air_dom!P9+manip_pt_air_intra!P9+manip_pt_air_extra!P9</f>
        <v>118.06335439042627</v>
      </c>
      <c r="AI21" s="28">
        <f>manip_pt_pc!Q9+'manip_pt_b+c'!Q9+'manip_pt_t+m'!Q9+manip_pt_rail!Q9+manip_pt_air_dom!Q9+manip_pt_air_intra!Q9+manip_pt_air_extra!Q9</f>
        <v>766.564922</v>
      </c>
      <c r="AK21" s="53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U21" s="53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</row>
    <row r="22" spans="1:89" ht="11.25">
      <c r="A22" s="53">
        <v>1996</v>
      </c>
      <c r="B22" s="28">
        <f>+manip_pt_mbike!B10+manip_pt_pc!B10+'manip_pt_b+c'!B10+'manip_pt_t+m'!B10+manip_pt_rail!B10+manip_pt_air_dom!B10+manip_pt_air_intra!B10+manip_pt_air_extra!B11</f>
        <v>4676.85258708798</v>
      </c>
      <c r="C22" s="28">
        <f>+manip_pt_mbike!C10+manip_pt_pc!C10+'manip_pt_b+c'!C10+'manip_pt_t+m'!C10+manip_pt_rail!C10+manip_pt_air_dom!C10+manip_pt_air_intra!C10+manip_pt_air_extra!C11</f>
        <v>129.19930499999998</v>
      </c>
      <c r="D22" s="28">
        <f>+manip_pt_mbike!D10+manip_pt_pc!D10+'manip_pt_b+c'!D10+'manip_pt_t+m'!D10+manip_pt_rail!D10+manip_pt_air_dom!D10+manip_pt_air_intra!D10+manip_pt_air_extra!D11</f>
        <v>73.63874399999999</v>
      </c>
      <c r="E22" s="28">
        <f>+manip_pt_mbike!E10+manip_pt_pc!E10+'manip_pt_b+c'!E10+'manip_pt_t+m'!E10+manip_pt_rail!E10+manip_pt_air_dom!E10+manip_pt_air_intra!E10+manip_pt_air_extra!E11</f>
        <v>974.6198009999998</v>
      </c>
      <c r="F22" s="28">
        <f>+manip_pt_mbike!F10+manip_pt_pc!F10+'manip_pt_b+c'!F10+'manip_pt_t+m'!F10+manip_pt_rail!F10+manip_pt_air_dom!F10+manip_pt_air_intra!F10+manip_pt_air_extra!F11</f>
        <v>59.235167999999994</v>
      </c>
      <c r="G22" s="28">
        <f>+manip_pt_mbike!G10+manip_pt_pc!G10+'manip_pt_b+c'!G10+'manip_pt_t+m'!G10+manip_pt_rail!G10+manip_pt_air_dom!G10+manip_pt_air_intra!G10+manip_pt_air_extra!G11</f>
        <v>316.441046</v>
      </c>
      <c r="H22" s="28">
        <f>+manip_pt_mbike!H10+manip_pt_pc!H10+'manip_pt_b+c'!H10+'manip_pt_t+m'!H10+manip_pt_rail!H10+manip_pt_air_dom!H10+manip_pt_air_intra!H10+manip_pt_air_extra!H11</f>
        <v>829.2453290000001</v>
      </c>
      <c r="I22" s="28">
        <f>+manip_pt_mbike!I10+manip_pt_pc!I10+'manip_pt_b+c'!I10+'manip_pt_t+m'!I10+manip_pt_rail!I10+manip_pt_air_dom!I10+manip_pt_air_intra!I10+manip_pt_air_extra!I11</f>
        <v>37.161177</v>
      </c>
      <c r="J22" s="28">
        <f>+manip_pt_mbike!J10+manip_pt_pc!J10+'manip_pt_b+c'!J10+'manip_pt_t+m'!J10+manip_pt_rail!J10+manip_pt_air_dom!J10+manip_pt_air_intra!J10+manip_pt_air_extra!J11</f>
        <v>861.7401820000001</v>
      </c>
      <c r="K22" s="28">
        <f>+manip_pt_mbike!K10+manip_pt_pc!K10+'manip_pt_b+c'!K10+'manip_pt_t+m'!K10+manip_pt_rail!K10+manip_pt_air_dom!K10+manip_pt_air_intra!K10+manip_pt_air_extra!K11</f>
        <v>6.464995999999999</v>
      </c>
      <c r="L22" s="28">
        <f>+manip_pt_mbike!L10+manip_pt_pc!L10+'manip_pt_b+c'!L10+'manip_pt_t+m'!L10+manip_pt_rail!L10+manip_pt_air_dom!L10+manip_pt_air_intra!L10+manip_pt_air_extra!L11</f>
        <v>207.428143</v>
      </c>
      <c r="M22" s="28">
        <f>+manip_pt_mbike!M10+manip_pt_pc!M10+'manip_pt_b+c'!M10+'manip_pt_t+m'!M10+manip_pt_rail!M10+manip_pt_air_dom!M10+manip_pt_air_intra!M10+manip_pt_air_extra!M11</f>
        <v>97.598313</v>
      </c>
      <c r="N22" s="28">
        <f>+manip_pt_mbike!N10+manip_pt_pc!N10+'manip_pt_b+c'!N10+'manip_pt_t+m'!N10+manip_pt_rail!N10+manip_pt_air_dom!N10+manip_pt_air_intra!N10+manip_pt_air_extra!N11</f>
        <v>95.65301299999999</v>
      </c>
      <c r="O22" s="28">
        <f>+manip_pt_mbike!O10+manip_pt_pc!O10+'manip_pt_b+c'!O10+'manip_pt_t+m'!O10+manip_pt_rail!O10+manip_pt_air_dom!O10+manip_pt_air_intra!O10+manip_pt_air_extra!O11</f>
        <v>71.517236</v>
      </c>
      <c r="P22" s="28">
        <f>+manip_pt_mbike!P10+manip_pt_pc!P10+'manip_pt_b+c'!P10+'manip_pt_t+m'!P10+manip_pt_rail!P10+manip_pt_air_dom!P10+manip_pt_air_intra!P10+manip_pt_air_extra!P11</f>
        <v>119.9354380879811</v>
      </c>
      <c r="Q22" s="28">
        <f>+manip_pt_mbike!Q10+manip_pt_pc!Q10+'manip_pt_b+c'!Q10+'manip_pt_t+m'!Q10+manip_pt_rail!Q10+manip_pt_air_dom!Q10+manip_pt_air_intra!Q10+manip_pt_air_extra!Q11</f>
        <v>796.9746959999999</v>
      </c>
      <c r="S22" s="53">
        <v>1996</v>
      </c>
      <c r="T22" s="28">
        <f>manip_pt_pc!B10+'manip_pt_b+c'!B10+'manip_pt_t+m'!B10+manip_pt_rail!B10+manip_pt_air_dom!B10+manip_pt_air_intra!B10+manip_pt_air_extra!B10</f>
        <v>4522.47597108798</v>
      </c>
      <c r="U22" s="28">
        <f>manip_pt_pc!C10+'manip_pt_b+c'!C10+'manip_pt_t+m'!C10+manip_pt_rail!C10+manip_pt_air_dom!C10+manip_pt_air_intra!C10+manip_pt_air_extra!C10</f>
        <v>127.54698099999999</v>
      </c>
      <c r="V22" s="28">
        <f>manip_pt_pc!D10+'manip_pt_b+c'!D10+'manip_pt_t+m'!D10+manip_pt_rail!D10+manip_pt_air_dom!D10+manip_pt_air_intra!D10+manip_pt_air_extra!D10</f>
        <v>73.14008799999999</v>
      </c>
      <c r="W22" s="28">
        <f>manip_pt_pc!E10+'manip_pt_b+c'!E10+'manip_pt_t+m'!E10+manip_pt_rail!E10+manip_pt_air_dom!E10+manip_pt_air_intra!E10+manip_pt_air_extra!E10</f>
        <v>959.9586199999999</v>
      </c>
      <c r="X22" s="28">
        <f>manip_pt_pc!F10+'manip_pt_b+c'!F10+'manip_pt_t+m'!F10+manip_pt_rail!F10+manip_pt_air_dom!F10+manip_pt_air_intra!F10+manip_pt_air_extra!F10</f>
        <v>44.743314</v>
      </c>
      <c r="Y22" s="28">
        <f>manip_pt_pc!G10+'manip_pt_b+c'!G10+'manip_pt_t+m'!G10+manip_pt_rail!G10+manip_pt_air_dom!G10+manip_pt_air_intra!G10+manip_pt_air_extra!G10</f>
        <v>301.61519799999996</v>
      </c>
      <c r="Z22" s="28">
        <f>manip_pt_pc!H10+'manip_pt_b+c'!H10+'manip_pt_t+m'!H10+manip_pt_rail!H10+manip_pt_air_dom!H10+manip_pt_air_intra!H10+manip_pt_air_extra!H10</f>
        <v>809.819658</v>
      </c>
      <c r="AA22" s="28">
        <f>manip_pt_pc!I10+'manip_pt_b+c'!I10+'manip_pt_t+m'!I10+manip_pt_rail!I10+manip_pt_air_dom!I10+manip_pt_air_intra!I10+manip_pt_air_extra!I10</f>
        <v>36.504872</v>
      </c>
      <c r="AB22" s="28">
        <f>manip_pt_pc!J10+'manip_pt_b+c'!J10+'manip_pt_t+m'!J10+manip_pt_rail!J10+manip_pt_air_dom!J10+manip_pt_air_intra!J10+manip_pt_air_extra!J10</f>
        <v>799.7001450000001</v>
      </c>
      <c r="AC22" s="28">
        <f>manip_pt_pc!K10+'manip_pt_b+c'!K10+'manip_pt_t+m'!K10+manip_pt_rail!K10+manip_pt_air_dom!K10+manip_pt_air_intra!K10+manip_pt_air_extra!K10</f>
        <v>6.404996</v>
      </c>
      <c r="AD22" s="28">
        <f>manip_pt_pc!L10+'manip_pt_b+c'!L10+'manip_pt_t+m'!L10+manip_pt_rail!L10+manip_pt_air_dom!L10+manip_pt_air_intra!L10+manip_pt_air_extra!L10</f>
        <v>200.990269</v>
      </c>
      <c r="AE22" s="28">
        <f>manip_pt_pc!M10+'manip_pt_b+c'!M10+'manip_pt_t+m'!M10+manip_pt_rail!M10+manip_pt_air_dom!M10+manip_pt_air_intra!M10+manip_pt_air_extra!M10</f>
        <v>95.49042300000002</v>
      </c>
      <c r="AF22" s="28">
        <f>manip_pt_pc!N10+'manip_pt_b+c'!N10+'manip_pt_t+m'!N10+manip_pt_rail!N10+manip_pt_air_dom!N10+manip_pt_air_intra!N10+manip_pt_air_extra!N10</f>
        <v>90.07992599999999</v>
      </c>
      <c r="AG22" s="28">
        <f>manip_pt_pc!O10+'manip_pt_b+c'!O10+'manip_pt_t+m'!O10+manip_pt_rail!O10+manip_pt_air_dom!O10+manip_pt_air_intra!O10+manip_pt_air_extra!O10</f>
        <v>70.615265</v>
      </c>
      <c r="AH22" s="28">
        <f>manip_pt_pc!P10+'manip_pt_b+c'!P10+'manip_pt_t+m'!P10+manip_pt_rail!P10+manip_pt_air_dom!P10+manip_pt_air_intra!P10+manip_pt_air_extra!P10</f>
        <v>119.0887980879811</v>
      </c>
      <c r="AI22" s="28">
        <f>manip_pt_pc!Q10+'manip_pt_b+c'!Q10+'manip_pt_t+m'!Q10+manip_pt_rail!Q10+manip_pt_air_dom!Q10+manip_pt_air_intra!Q10+manip_pt_air_extra!Q10</f>
        <v>786.7774179999999</v>
      </c>
      <c r="AK22" s="53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U22" s="53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</row>
    <row r="23" spans="1:89" ht="11.25">
      <c r="A23" s="53">
        <v>1997</v>
      </c>
      <c r="B23" s="28">
        <f>+manip_pt_mbike!B11+manip_pt_pc!B11+'manip_pt_b+c'!B11+'manip_pt_t+m'!B11+manip_pt_rail!B11+manip_pt_air_dom!B11+manip_pt_air_intra!B11+manip_pt_air_extra!B12</f>
        <v>4794.698886701958</v>
      </c>
      <c r="C23" s="28">
        <f>+manip_pt_mbike!C11+manip_pt_pc!C11+'manip_pt_b+c'!C11+'manip_pt_t+m'!C11+manip_pt_rail!C11+manip_pt_air_dom!C11+manip_pt_air_intra!C11+manip_pt_air_extra!C12</f>
        <v>133.063577</v>
      </c>
      <c r="D23" s="28">
        <f>+manip_pt_mbike!D11+manip_pt_pc!D11+'manip_pt_b+c'!D11+'manip_pt_t+m'!D11+manip_pt_rail!D11+manip_pt_air_dom!D11+manip_pt_air_intra!D11+manip_pt_air_extra!D12</f>
        <v>75.78874171428572</v>
      </c>
      <c r="E23" s="28">
        <f>+manip_pt_mbike!E11+manip_pt_pc!E11+'manip_pt_b+c'!E11+'manip_pt_t+m'!E11+manip_pt_rail!E11+manip_pt_air_dom!E11+manip_pt_air_intra!E11+manip_pt_air_extra!E12</f>
        <v>985.7190660840687</v>
      </c>
      <c r="F23" s="28">
        <f>+manip_pt_mbike!F11+manip_pt_pc!F11+'manip_pt_b+c'!F11+'manip_pt_t+m'!F11+manip_pt_rail!F11+manip_pt_air_dom!F11+manip_pt_air_intra!F11+manip_pt_air_extra!F12</f>
        <v>62.611648</v>
      </c>
      <c r="G23" s="28">
        <f>+manip_pt_mbike!G11+manip_pt_pc!G11+'manip_pt_b+c'!G11+'manip_pt_t+m'!G11+manip_pt_rail!G11+manip_pt_air_dom!G11+manip_pt_air_intra!G11+manip_pt_air_extra!G12</f>
        <v>334.40389000000005</v>
      </c>
      <c r="H23" s="28">
        <f>+manip_pt_mbike!H11+manip_pt_pc!H11+'manip_pt_b+c'!H11+'manip_pt_t+m'!H11+manip_pt_rail!H11+manip_pt_air_dom!H11+manip_pt_air_intra!H11+manip_pt_air_extra!H12</f>
        <v>854.061554</v>
      </c>
      <c r="I23" s="28">
        <f>+manip_pt_mbike!I11+manip_pt_pc!I11+'manip_pt_b+c'!I11+'manip_pt_t+m'!I11+manip_pt_rail!I11+manip_pt_air_dom!I11+manip_pt_air_intra!I11+manip_pt_air_extra!I12</f>
        <v>40.229464</v>
      </c>
      <c r="J23" s="28">
        <f>+manip_pt_mbike!J11+manip_pt_pc!J11+'manip_pt_b+c'!J11+'manip_pt_t+m'!J11+manip_pt_rail!J11+manip_pt_air_dom!J11+manip_pt_air_intra!J11+manip_pt_air_extra!J12</f>
        <v>876.656322</v>
      </c>
      <c r="K23" s="28">
        <f>+manip_pt_mbike!K11+manip_pt_pc!K11+'manip_pt_b+c'!K11+'manip_pt_t+m'!K11+manip_pt_rail!K11+manip_pt_air_dom!K11+manip_pt_air_intra!K11+manip_pt_air_extra!K12</f>
        <v>6.601551000000001</v>
      </c>
      <c r="L23" s="28">
        <f>+manip_pt_mbike!L11+manip_pt_pc!L11+'manip_pt_b+c'!L11+'manip_pt_t+m'!L11+manip_pt_rail!L11+manip_pt_air_dom!L11+manip_pt_air_intra!L11+manip_pt_air_extra!L12</f>
        <v>217.97779899999998</v>
      </c>
      <c r="M23" s="28">
        <f>+manip_pt_mbike!M11+manip_pt_pc!M11+'manip_pt_b+c'!M11+'manip_pt_t+m'!M11+manip_pt_rail!M11+manip_pt_air_dom!M11+manip_pt_air_intra!M11+manip_pt_air_extra!M12</f>
        <v>98.25960099999999</v>
      </c>
      <c r="N23" s="28">
        <f>+manip_pt_mbike!N11+manip_pt_pc!N11+'manip_pt_b+c'!N11+'manip_pt_t+m'!N11+manip_pt_rail!N11+manip_pt_air_dom!N11+manip_pt_air_intra!N11+manip_pt_air_extra!N12</f>
        <v>100.917708</v>
      </c>
      <c r="O23" s="28">
        <f>+manip_pt_mbike!O11+manip_pt_pc!O11+'manip_pt_b+c'!O11+'manip_pt_t+m'!O11+manip_pt_rail!O11+manip_pt_air_dom!O11+manip_pt_air_intra!O11+manip_pt_air_extra!O12</f>
        <v>74.204776</v>
      </c>
      <c r="P23" s="28">
        <f>+manip_pt_mbike!P11+manip_pt_pc!P11+'manip_pt_b+c'!P11+'manip_pt_t+m'!P11+manip_pt_rail!P11+manip_pt_air_dom!P11+manip_pt_air_intra!P11+manip_pt_air_extra!P12</f>
        <v>121.4759689036043</v>
      </c>
      <c r="Q23" s="28">
        <f>+manip_pt_mbike!Q11+manip_pt_pc!Q11+'manip_pt_b+c'!Q11+'manip_pt_t+m'!Q11+manip_pt_rail!Q11+manip_pt_air_dom!Q11+manip_pt_air_intra!Q11+manip_pt_air_extra!Q12</f>
        <v>812.7272199999999</v>
      </c>
      <c r="S23" s="53">
        <v>1997</v>
      </c>
      <c r="T23" s="28">
        <f>manip_pt_pc!B11+'manip_pt_b+c'!B11+'manip_pt_t+m'!B11+manip_pt_rail!B11+manip_pt_air_dom!B11+manip_pt_air_intra!B11+manip_pt_air_extra!B11</f>
        <v>4631.340132701958</v>
      </c>
      <c r="U23" s="28">
        <f>manip_pt_pc!C11+'manip_pt_b+c'!C11+'manip_pt_t+m'!C11+manip_pt_rail!C11+manip_pt_air_dom!C11+manip_pt_air_intra!C11+manip_pt_air_extra!C11</f>
        <v>130.572966</v>
      </c>
      <c r="V23" s="28">
        <f>manip_pt_pc!D11+'manip_pt_b+c'!D11+'manip_pt_t+m'!D11+manip_pt_rail!D11+manip_pt_air_dom!D11+manip_pt_air_intra!D11+manip_pt_air_extra!D11</f>
        <v>75.26713571428571</v>
      </c>
      <c r="W23" s="28">
        <f>manip_pt_pc!E11+'manip_pt_b+c'!E11+'manip_pt_t+m'!E11+manip_pt_rail!E11+manip_pt_air_dom!E11+manip_pt_air_intra!E11+manip_pt_air_extra!E11</f>
        <v>964.4753490840686</v>
      </c>
      <c r="X23" s="28">
        <f>manip_pt_pc!F11+'manip_pt_b+c'!F11+'manip_pt_t+m'!F11+manip_pt_rail!F11+manip_pt_air_dom!F11+manip_pt_air_intra!F11+manip_pt_air_extra!F11</f>
        <v>47.599213999999996</v>
      </c>
      <c r="Y23" s="28">
        <f>manip_pt_pc!G11+'manip_pt_b+c'!G11+'manip_pt_t+m'!G11+manip_pt_rail!G11+manip_pt_air_dom!G11+manip_pt_air_intra!G11+manip_pt_air_extra!G11</f>
        <v>319.538881</v>
      </c>
      <c r="Z23" s="28">
        <f>manip_pt_pc!H11+'manip_pt_b+c'!H11+'manip_pt_t+m'!H11+manip_pt_rail!H11+manip_pt_air_dom!H11+manip_pt_air_intra!H11+manip_pt_air_extra!H11</f>
        <v>838.7705589999999</v>
      </c>
      <c r="AA23" s="28">
        <f>manip_pt_pc!I11+'manip_pt_b+c'!I11+'manip_pt_t+m'!I11+manip_pt_rail!I11+manip_pt_air_dom!I11+manip_pt_air_intra!I11+manip_pt_air_extra!I11</f>
        <v>39.324014</v>
      </c>
      <c r="AB23" s="28">
        <f>manip_pt_pc!J11+'manip_pt_b+c'!J11+'manip_pt_t+m'!J11+manip_pt_rail!J11+manip_pt_air_dom!J11+manip_pt_air_intra!J11+manip_pt_air_extra!J11</f>
        <v>813.1455090000001</v>
      </c>
      <c r="AC23" s="28">
        <f>manip_pt_pc!K11+'manip_pt_b+c'!K11+'manip_pt_t+m'!K11+manip_pt_rail!K11+manip_pt_air_dom!K11+manip_pt_air_intra!K11+manip_pt_air_extra!K11</f>
        <v>6.541551000000001</v>
      </c>
      <c r="AD23" s="28">
        <f>manip_pt_pc!L11+'manip_pt_b+c'!L11+'manip_pt_t+m'!L11+manip_pt_rail!L11+manip_pt_air_dom!L11+manip_pt_air_intra!L11+manip_pt_air_extra!L11</f>
        <v>209.87718999999998</v>
      </c>
      <c r="AE23" s="28">
        <f>manip_pt_pc!M11+'manip_pt_b+c'!M11+'manip_pt_t+m'!M11+manip_pt_rail!M11+manip_pt_air_dom!M11+manip_pt_air_intra!M11+manip_pt_air_extra!M11</f>
        <v>95.960067</v>
      </c>
      <c r="AF23" s="28">
        <f>manip_pt_pc!N11+'manip_pt_b+c'!N11+'manip_pt_t+m'!N11+manip_pt_rail!N11+manip_pt_air_dom!N11+manip_pt_air_intra!N11+manip_pt_air_extra!N11</f>
        <v>94.62574699999999</v>
      </c>
      <c r="AG23" s="28">
        <f>manip_pt_pc!O11+'manip_pt_b+c'!O11+'manip_pt_t+m'!O11+manip_pt_rail!O11+manip_pt_air_dom!O11+manip_pt_air_intra!O11+manip_pt_air_extra!O11</f>
        <v>73.195461</v>
      </c>
      <c r="AH23" s="28">
        <f>manip_pt_pc!P11+'manip_pt_b+c'!P11+'manip_pt_t+m'!P11+manip_pt_rail!P11+manip_pt_air_dom!P11+manip_pt_air_intra!P11+manip_pt_air_extra!P11</f>
        <v>120.7219539036043</v>
      </c>
      <c r="AI23" s="28">
        <f>manip_pt_pc!Q11+'manip_pt_b+c'!Q11+'manip_pt_t+m'!Q11+manip_pt_rail!Q11+manip_pt_air_dom!Q11+manip_pt_air_intra!Q11+manip_pt_air_extra!Q11</f>
        <v>801.724535</v>
      </c>
      <c r="AK23" s="53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U23" s="53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</row>
    <row r="24" spans="1:89" ht="11.25">
      <c r="A24" s="53">
        <v>1998</v>
      </c>
      <c r="B24" s="28">
        <f>+manip_pt_mbike!B12+manip_pt_pc!B12+'manip_pt_b+c'!B12+'manip_pt_t+m'!B12+manip_pt_rail!B12+manip_pt_air_dom!B12+manip_pt_air_intra!B12+manip_pt_air_extra!B13</f>
        <v>4955.15148266647</v>
      </c>
      <c r="C24" s="28">
        <f>+manip_pt_mbike!C12+manip_pt_pc!C12+'manip_pt_b+c'!C12+'manip_pt_t+m'!C12+manip_pt_rail!C12+manip_pt_air_dom!C12+manip_pt_air_intra!C12+manip_pt_air_extra!C13</f>
        <v>141.115481</v>
      </c>
      <c r="D24" s="28">
        <f>+manip_pt_mbike!D12+manip_pt_pc!D12+'manip_pt_b+c'!D12+'manip_pt_t+m'!D12+manip_pt_rail!D12+manip_pt_air_dom!D12+manip_pt_air_intra!D12+manip_pt_air_extra!D13</f>
        <v>77.19791228571428</v>
      </c>
      <c r="E24" s="28">
        <f>+manip_pt_mbike!E12+manip_pt_pc!E12+'manip_pt_b+c'!E12+'manip_pt_t+m'!E12+manip_pt_rail!E12+manip_pt_air_dom!E12+manip_pt_air_intra!E12+manip_pt_air_extra!E13</f>
        <v>992.2257704453788</v>
      </c>
      <c r="F24" s="28">
        <f>+manip_pt_mbike!F12+manip_pt_pc!F12+'manip_pt_b+c'!F12+'manip_pt_t+m'!F12+manip_pt_rail!F12+manip_pt_air_dom!F12+manip_pt_air_intra!F12+manip_pt_air_extra!F13</f>
        <v>66.241155</v>
      </c>
      <c r="G24" s="28">
        <f>+manip_pt_mbike!G12+manip_pt_pc!G12+'manip_pt_b+c'!G12+'manip_pt_t+m'!G12+manip_pt_rail!G12+manip_pt_air_dom!G12+manip_pt_air_intra!G12+manip_pt_air_extra!G13</f>
        <v>389.537695</v>
      </c>
      <c r="H24" s="28">
        <f>+manip_pt_mbike!H12+manip_pt_pc!H12+'manip_pt_b+c'!H12+'manip_pt_t+m'!H12+manip_pt_rail!H12+manip_pt_air_dom!H12+manip_pt_air_intra!H12+manip_pt_air_extra!H13</f>
        <v>881.2324990000002</v>
      </c>
      <c r="I24" s="28">
        <f>+manip_pt_mbike!I12+manip_pt_pc!I12+'manip_pt_b+c'!I12+'manip_pt_t+m'!I12+manip_pt_rail!I12+manip_pt_air_dom!I12+manip_pt_air_intra!I12+manip_pt_air_extra!I13</f>
        <v>42.437383000000004</v>
      </c>
      <c r="J24" s="28">
        <f>+manip_pt_mbike!J12+manip_pt_pc!J12+'manip_pt_b+c'!J12+'manip_pt_t+m'!J12+manip_pt_rail!J12+manip_pt_air_dom!J12+manip_pt_air_intra!J12+manip_pt_air_extra!J13</f>
        <v>899.4069959999999</v>
      </c>
      <c r="K24" s="28">
        <f>+manip_pt_mbike!K12+manip_pt_pc!K12+'manip_pt_b+c'!K12+'manip_pt_t+m'!K12+manip_pt_rail!K12+manip_pt_air_dom!K12+manip_pt_air_intra!K12+manip_pt_air_extra!K13</f>
        <v>6.708941</v>
      </c>
      <c r="L24" s="28">
        <f>+manip_pt_mbike!L12+manip_pt_pc!L12+'manip_pt_b+c'!L12+'manip_pt_t+m'!L12+manip_pt_rail!L12+manip_pt_air_dom!L12+manip_pt_air_intra!L12+manip_pt_air_extra!L13</f>
        <v>221.07882800000002</v>
      </c>
      <c r="M24" s="28">
        <f>+manip_pt_mbike!M12+manip_pt_pc!M12+'manip_pt_b+c'!M12+'manip_pt_t+m'!M12+manip_pt_rail!M12+manip_pt_air_dom!M12+manip_pt_air_intra!M12+manip_pt_air_extra!M13</f>
        <v>101.10353700000002</v>
      </c>
      <c r="N24" s="28">
        <f>+manip_pt_mbike!N12+manip_pt_pc!N12+'manip_pt_b+c'!N12+'manip_pt_t+m'!N12+manip_pt_rail!N12+manip_pt_air_dom!N12+manip_pt_air_intra!N12+manip_pt_air_extra!N13</f>
        <v>107.76713000000001</v>
      </c>
      <c r="O24" s="28">
        <f>+manip_pt_mbike!O12+manip_pt_pc!O12+'manip_pt_b+c'!O12+'manip_pt_t+m'!O12+manip_pt_rail!O12+manip_pt_air_dom!O12+manip_pt_air_intra!O12+manip_pt_air_extra!O13</f>
        <v>76.507681</v>
      </c>
      <c r="P24" s="28">
        <f>+manip_pt_mbike!P12+manip_pt_pc!P12+'manip_pt_b+c'!P12+'manip_pt_t+m'!P12+manip_pt_rail!P12+manip_pt_air_dom!P12+manip_pt_air_intra!P12+manip_pt_air_extra!P13</f>
        <v>122.81952993537675</v>
      </c>
      <c r="Q24" s="28">
        <f>+manip_pt_mbike!Q12+manip_pt_pc!Q12+'manip_pt_b+c'!Q12+'manip_pt_t+m'!Q12+manip_pt_rail!Q12+manip_pt_air_dom!Q12+manip_pt_air_intra!Q12+manip_pt_air_extra!Q13</f>
        <v>829.770944</v>
      </c>
      <c r="S24" s="53">
        <v>1998</v>
      </c>
      <c r="T24" s="28">
        <f>manip_pt_pc!B12+'manip_pt_b+c'!B12+'manip_pt_t+m'!B12+manip_pt_rail!B12+manip_pt_air_dom!B12+manip_pt_air_intra!B12+manip_pt_air_extra!B12</f>
        <v>4791.75544266647</v>
      </c>
      <c r="U24" s="28">
        <f>manip_pt_pc!C12+'manip_pt_b+c'!C12+'manip_pt_t+m'!C12+manip_pt_rail!C12+manip_pt_air_dom!C12+manip_pt_air_intra!C12+manip_pt_air_extra!C12</f>
        <v>136.80283899999998</v>
      </c>
      <c r="V24" s="28">
        <f>manip_pt_pc!D12+'manip_pt_b+c'!D12+'manip_pt_t+m'!D12+manip_pt_rail!D12+manip_pt_air_dom!D12+manip_pt_air_intra!D12+manip_pt_air_extra!D12</f>
        <v>76.58909085714286</v>
      </c>
      <c r="W24" s="28">
        <f>manip_pt_pc!E12+'manip_pt_b+c'!E12+'manip_pt_t+m'!E12+manip_pt_rail!E12+manip_pt_air_dom!E12+manip_pt_air_intra!E12+manip_pt_air_extra!E12</f>
        <v>974.7408264453788</v>
      </c>
      <c r="X24" s="28">
        <f>manip_pt_pc!F12+'manip_pt_b+c'!F12+'manip_pt_t+m'!F12+manip_pt_rail!F12+manip_pt_air_dom!F12+manip_pt_air_intra!F12+manip_pt_air_extra!F12</f>
        <v>49.144103</v>
      </c>
      <c r="Y24" s="28">
        <f>manip_pt_pc!G12+'manip_pt_b+c'!G12+'manip_pt_t+m'!G12+manip_pt_rail!G12+manip_pt_air_dom!G12+manip_pt_air_intra!G12+manip_pt_air_extra!G12</f>
        <v>374.423967</v>
      </c>
      <c r="Z24" s="28">
        <f>manip_pt_pc!H12+'manip_pt_b+c'!H12+'manip_pt_t+m'!H12+manip_pt_rail!H12+manip_pt_air_dom!H12+manip_pt_air_intra!H12+manip_pt_air_extra!H12</f>
        <v>864.7021710000001</v>
      </c>
      <c r="AA24" s="28">
        <f>manip_pt_pc!I12+'manip_pt_b+c'!I12+'manip_pt_t+m'!I12+manip_pt_rail!I12+manip_pt_air_dom!I12+manip_pt_air_intra!I12+manip_pt_air_extra!I12</f>
        <v>41.739018</v>
      </c>
      <c r="AB24" s="28">
        <f>manip_pt_pc!J12+'manip_pt_b+c'!J12+'manip_pt_t+m'!J12+manip_pt_rail!J12+manip_pt_air_dom!J12+manip_pt_air_intra!J12+manip_pt_air_extra!J12</f>
        <v>835.4392949999999</v>
      </c>
      <c r="AC24" s="28">
        <f>manip_pt_pc!K12+'manip_pt_b+c'!K12+'manip_pt_t+m'!K12+manip_pt_rail!K12+manip_pt_air_dom!K12+manip_pt_air_intra!K12+manip_pt_air_extra!K12</f>
        <v>6.648941000000001</v>
      </c>
      <c r="AD24" s="28">
        <f>manip_pt_pc!L12+'manip_pt_b+c'!L12+'manip_pt_t+m'!L12+manip_pt_rail!L12+manip_pt_air_dom!L12+manip_pt_air_intra!L12+manip_pt_air_extra!L12</f>
        <v>217.05472600000002</v>
      </c>
      <c r="AE24" s="28">
        <f>manip_pt_pc!M12+'manip_pt_b+c'!M12+'manip_pt_t+m'!M12+manip_pt_rail!M12+manip_pt_air_dom!M12+manip_pt_air_intra!M12+manip_pt_air_extra!M12</f>
        <v>98.70757300000001</v>
      </c>
      <c r="AF24" s="28">
        <f>manip_pt_pc!N12+'manip_pt_b+c'!N12+'manip_pt_t+m'!N12+manip_pt_rail!N12+manip_pt_air_dom!N12+manip_pt_air_intra!N12+manip_pt_air_extra!N12</f>
        <v>101.18771000000001</v>
      </c>
      <c r="AG24" s="28">
        <f>manip_pt_pc!O12+'manip_pt_b+c'!O12+'manip_pt_t+m'!O12+manip_pt_rail!O12+manip_pt_air_dom!O12+manip_pt_air_intra!O12+manip_pt_air_extra!O12</f>
        <v>75.503018</v>
      </c>
      <c r="AH24" s="28">
        <f>manip_pt_pc!P12+'manip_pt_b+c'!P12+'manip_pt_t+m'!P12+manip_pt_rail!P12+manip_pt_air_dom!P12+manip_pt_air_intra!P12+manip_pt_air_extra!P12</f>
        <v>122.12247636394818</v>
      </c>
      <c r="AI24" s="28">
        <f>manip_pt_pc!Q12+'manip_pt_b+c'!Q12+'manip_pt_t+m'!Q12+manip_pt_rail!Q12+manip_pt_air_dom!Q12+manip_pt_air_intra!Q12+manip_pt_air_extra!Q12</f>
        <v>816.9496879999999</v>
      </c>
      <c r="AK24" s="53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U24" s="53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</row>
    <row r="25" spans="1:89" ht="11.25">
      <c r="A25" s="53">
        <v>1999</v>
      </c>
      <c r="B25" s="28">
        <f>+manip_pt_mbike!B13+manip_pt_pc!B13+'manip_pt_b+c'!B13+'manip_pt_t+m'!B13+manip_pt_rail!B13+manip_pt_air_dom!B13+manip_pt_air_intra!B13+manip_pt_air_extra!B14</f>
        <v>5071.496218380625</v>
      </c>
      <c r="C25" s="28">
        <f>+manip_pt_mbike!C13+manip_pt_pc!C13+'manip_pt_b+c'!C13+'manip_pt_t+m'!C13+manip_pt_rail!C13+manip_pt_air_dom!C13+manip_pt_air_intra!C13+manip_pt_air_extra!C14</f>
        <v>145.726968</v>
      </c>
      <c r="D25" s="28">
        <f>+manip_pt_mbike!D13+manip_pt_pc!D13+'manip_pt_b+c'!D13+'manip_pt_t+m'!D13+manip_pt_rail!D13+manip_pt_air_dom!D13+manip_pt_air_intra!D13+manip_pt_air_extra!D14</f>
        <v>79.08771542857143</v>
      </c>
      <c r="E25" s="28">
        <f>+manip_pt_mbike!E13+manip_pt_pc!E13+'manip_pt_b+c'!E13+'manip_pt_t+m'!E13+manip_pt_rail!E13+manip_pt_air_dom!E13+manip_pt_air_intra!E13+manip_pt_air_extra!E14</f>
        <v>1011.8982620168283</v>
      </c>
      <c r="F25" s="28">
        <f>+manip_pt_mbike!F13+manip_pt_pc!F13+'manip_pt_b+c'!F13+'manip_pt_t+m'!F13+manip_pt_rail!F13+manip_pt_air_dom!F13+manip_pt_air_intra!F13+manip_pt_air_extra!F14</f>
        <v>70.078451</v>
      </c>
      <c r="G25" s="28">
        <f>+manip_pt_mbike!G13+manip_pt_pc!G13+'manip_pt_b+c'!G13+'manip_pt_t+m'!G13+manip_pt_rail!G13+manip_pt_air_dom!G13+manip_pt_air_intra!G13+manip_pt_air_extra!G14</f>
        <v>417.76796599999994</v>
      </c>
      <c r="H25" s="28">
        <f>+manip_pt_mbike!H13+manip_pt_pc!H13+'manip_pt_b+c'!H13+'manip_pt_t+m'!H13+manip_pt_rail!H13+manip_pt_air_dom!H13+manip_pt_air_intra!H13+manip_pt_air_extra!H14</f>
        <v>914.2205309999999</v>
      </c>
      <c r="I25" s="28">
        <f>+manip_pt_mbike!I13+manip_pt_pc!I13+'manip_pt_b+c'!I13+'manip_pt_t+m'!I13+manip_pt_rail!I13+manip_pt_air_dom!I13+manip_pt_air_intra!I13+manip_pt_air_extra!I14</f>
        <v>46.31988799999999</v>
      </c>
      <c r="J25" s="28">
        <f>+manip_pt_mbike!J13+manip_pt_pc!J13+'manip_pt_b+c'!J13+'manip_pt_t+m'!J13+manip_pt_rail!J13+manip_pt_air_dom!J13+manip_pt_air_intra!J13+manip_pt_air_extra!J14</f>
        <v>904.3059979999999</v>
      </c>
      <c r="K25" s="28">
        <f>+manip_pt_mbike!K13+manip_pt_pc!K13+'manip_pt_b+c'!K13+'manip_pt_t+m'!K13+manip_pt_rail!K13+manip_pt_air_dom!K13+manip_pt_air_intra!K13+manip_pt_air_extra!K14</f>
        <v>7.008233</v>
      </c>
      <c r="L25" s="28">
        <f>+manip_pt_mbike!L13+manip_pt_pc!L13+'manip_pt_b+c'!L13+'manip_pt_t+m'!L13+manip_pt_rail!L13+manip_pt_air_dom!L13+manip_pt_air_intra!L13+manip_pt_air_extra!L14</f>
        <v>226.012547</v>
      </c>
      <c r="M25" s="28">
        <f>+manip_pt_mbike!M13+manip_pt_pc!M13+'manip_pt_b+c'!M13+'manip_pt_t+m'!M13+manip_pt_rail!M13+manip_pt_air_dom!M13+manip_pt_air_intra!M13+manip_pt_air_extra!M14</f>
        <v>102.18083400000002</v>
      </c>
      <c r="N25" s="28">
        <f>+manip_pt_mbike!N13+manip_pt_pc!N13+'manip_pt_b+c'!N13+'manip_pt_t+m'!N13+manip_pt_rail!N13+manip_pt_air_dom!N13+manip_pt_air_intra!N13+manip_pt_air_extra!N14</f>
        <v>113.98421599999998</v>
      </c>
      <c r="O25" s="28">
        <f>+manip_pt_mbike!O13+manip_pt_pc!O13+'manip_pt_b+c'!O13+'manip_pt_t+m'!O13+manip_pt_rail!O13+manip_pt_air_dom!O13+manip_pt_air_intra!O13+manip_pt_air_extra!O14</f>
        <v>75.05648</v>
      </c>
      <c r="P25" s="28">
        <f>+manip_pt_mbike!P13+manip_pt_pc!P13+'manip_pt_b+c'!P13+'manip_pt_t+m'!P13+manip_pt_rail!P13+manip_pt_air_dom!P13+manip_pt_air_intra!P13+manip_pt_air_extra!P14</f>
        <v>126.33505393522464</v>
      </c>
      <c r="Q25" s="28">
        <f>+manip_pt_mbike!Q13+manip_pt_pc!Q13+'manip_pt_b+c'!Q13+'manip_pt_t+m'!Q13+manip_pt_rail!Q13+manip_pt_air_dom!Q13+manip_pt_air_intra!Q13+manip_pt_air_extra!Q14</f>
        <v>831.5130750000001</v>
      </c>
      <c r="S25" s="53">
        <v>1999</v>
      </c>
      <c r="T25" s="28">
        <f>manip_pt_pc!B13+'manip_pt_b+c'!B13+'manip_pt_t+m'!B13+manip_pt_rail!B13+manip_pt_air_dom!B13+manip_pt_air_intra!B13+manip_pt_air_extra!B13</f>
        <v>4896.674663380624</v>
      </c>
      <c r="U25" s="28">
        <f>manip_pt_pc!C13+'manip_pt_b+c'!C13+'manip_pt_t+m'!C13+manip_pt_rail!C13+manip_pt_air_dom!C13+manip_pt_air_intra!C13+manip_pt_air_extra!C13</f>
        <v>142.809408</v>
      </c>
      <c r="V25" s="28">
        <f>manip_pt_pc!D13+'manip_pt_b+c'!D13+'manip_pt_t+m'!D13+manip_pt_rail!D13+manip_pt_air_dom!D13+manip_pt_air_intra!D13+manip_pt_air_extra!D13</f>
        <v>78.37559085714285</v>
      </c>
      <c r="W25" s="28">
        <f>manip_pt_pc!E13+'manip_pt_b+c'!E13+'manip_pt_t+m'!E13+manip_pt_rail!E13+manip_pt_air_dom!E13+manip_pt_air_intra!E13+manip_pt_air_extra!E13</f>
        <v>986.3225630168284</v>
      </c>
      <c r="X25" s="28">
        <f>manip_pt_pc!F13+'manip_pt_b+c'!F13+'manip_pt_t+m'!F13+manip_pt_rail!F13+manip_pt_air_dom!F13+manip_pt_air_intra!F13+manip_pt_air_extra!F13</f>
        <v>51.177918000000005</v>
      </c>
      <c r="Y25" s="28">
        <f>manip_pt_pc!G13+'manip_pt_b+c'!G13+'manip_pt_t+m'!G13+manip_pt_rail!G13+manip_pt_air_dom!G13+manip_pt_air_intra!G13+manip_pt_air_extra!G13</f>
        <v>400.06042099999996</v>
      </c>
      <c r="Z25" s="28">
        <f>manip_pt_pc!H13+'manip_pt_b+c'!H13+'manip_pt_t+m'!H13+manip_pt_rail!H13+manip_pt_air_dom!H13+manip_pt_air_intra!H13+manip_pt_air_extra!H13</f>
        <v>894.573943</v>
      </c>
      <c r="AA25" s="28">
        <f>manip_pt_pc!I13+'manip_pt_b+c'!I13+'manip_pt_t+m'!I13+manip_pt_rail!I13+manip_pt_air_dom!I13+manip_pt_air_intra!I13+manip_pt_air_extra!I13</f>
        <v>45.164981</v>
      </c>
      <c r="AB25" s="28">
        <f>manip_pt_pc!J13+'manip_pt_b+c'!J13+'manip_pt_t+m'!J13+manip_pt_rail!J13+manip_pt_air_dom!J13+manip_pt_air_intra!J13+manip_pt_air_extra!J13</f>
        <v>837.4576019999998</v>
      </c>
      <c r="AC25" s="28">
        <f>manip_pt_pc!K13+'manip_pt_b+c'!K13+'manip_pt_t+m'!K13+manip_pt_rail!K13+manip_pt_air_dom!K13+manip_pt_air_intra!K13+manip_pt_air_extra!K13</f>
        <v>6.762126</v>
      </c>
      <c r="AD25" s="28">
        <f>manip_pt_pc!L13+'manip_pt_b+c'!L13+'manip_pt_t+m'!L13+manip_pt_rail!L13+manip_pt_air_dom!L13+manip_pt_air_intra!L13+manip_pt_air_extra!L13</f>
        <v>222.94045100000002</v>
      </c>
      <c r="AE25" s="28">
        <f>manip_pt_pc!M13+'manip_pt_b+c'!M13+'manip_pt_t+m'!M13+manip_pt_rail!M13+manip_pt_air_dom!M13+manip_pt_air_intra!M13+manip_pt_air_extra!M13</f>
        <v>99.87024600000001</v>
      </c>
      <c r="AF25" s="28">
        <f>manip_pt_pc!N13+'manip_pt_b+c'!N13+'manip_pt_t+m'!N13+manip_pt_rail!N13+manip_pt_air_dom!N13+manip_pt_air_intra!N13+manip_pt_air_extra!N13</f>
        <v>107.24295899999998</v>
      </c>
      <c r="AG25" s="28">
        <f>manip_pt_pc!O13+'manip_pt_b+c'!O13+'manip_pt_t+m'!O13+manip_pt_rail!O13+manip_pt_air_dom!O13+manip_pt_air_intra!O13+manip_pt_air_extra!O13</f>
        <v>74.497024</v>
      </c>
      <c r="AH25" s="28">
        <f>manip_pt_pc!P13+'manip_pt_b+c'!P13+'manip_pt_t+m'!P13+manip_pt_rail!P13+manip_pt_air_dom!P13+manip_pt_air_intra!P13+manip_pt_air_extra!P13</f>
        <v>125.41974250665321</v>
      </c>
      <c r="AI25" s="28">
        <f>manip_pt_pc!Q13+'manip_pt_b+c'!Q13+'manip_pt_t+m'!Q13+manip_pt_rail!Q13+manip_pt_air_dom!Q13+manip_pt_air_intra!Q13+manip_pt_air_extra!Q13</f>
        <v>823.999688</v>
      </c>
      <c r="AK25" s="53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U25" s="53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</row>
    <row r="26" spans="1:89" ht="11.25">
      <c r="A26" s="53">
        <v>2000</v>
      </c>
      <c r="B26" s="28">
        <f>+manip_pt_mbike!B14+manip_pt_pc!B14+'manip_pt_b+c'!B14+'manip_pt_t+m'!B14+manip_pt_rail!B14+manip_pt_air_dom!B14+manip_pt_air_intra!B14+manip_pt_air_extra!B15</f>
        <v>5117.8481367553095</v>
      </c>
      <c r="C26" s="28">
        <f>+manip_pt_mbike!C14+manip_pt_pc!C14+'manip_pt_b+c'!C14+'manip_pt_t+m'!C14+manip_pt_rail!C14+manip_pt_air_dom!C14+manip_pt_air_intra!C14+manip_pt_air_extra!C15</f>
        <v>148.70068899999998</v>
      </c>
      <c r="D26" s="28">
        <f>+manip_pt_mbike!D14+manip_pt_pc!D14+'manip_pt_b+c'!D14+'manip_pt_t+m'!D14+manip_pt_rail!D14+manip_pt_air_dom!D14+manip_pt_air_intra!D14+manip_pt_air_extra!D15</f>
        <v>79.58365342857144</v>
      </c>
      <c r="E26" s="28">
        <f>+manip_pt_mbike!E14+manip_pt_pc!E14+'manip_pt_b+c'!E14+'manip_pt_t+m'!E14+manip_pt_rail!E14+manip_pt_air_dom!E14+manip_pt_air_intra!E14+manip_pt_air_extra!E15</f>
        <v>992.2462928432942</v>
      </c>
      <c r="F26" s="28">
        <f>+manip_pt_mbike!F14+manip_pt_pc!F14+'manip_pt_b+c'!F14+'manip_pt_t+m'!F14+manip_pt_rail!F14+manip_pt_air_dom!F14+manip_pt_air_intra!F14+manip_pt_air_extra!F15</f>
        <v>70.577508</v>
      </c>
      <c r="G26" s="28">
        <f>+manip_pt_mbike!G14+manip_pt_pc!G14+'manip_pt_b+c'!G14+'manip_pt_t+m'!G14+manip_pt_rail!G14+manip_pt_air_dom!G14+manip_pt_air_intra!G14+manip_pt_air_extra!G15</f>
        <v>436.299477</v>
      </c>
      <c r="H26" s="28">
        <f>+manip_pt_mbike!H14+manip_pt_pc!H14+'manip_pt_b+c'!H14+'manip_pt_t+m'!H14+manip_pt_rail!H14+manip_pt_air_dom!H14+manip_pt_air_intra!H14+manip_pt_air_extra!H15</f>
        <v>928.60129</v>
      </c>
      <c r="I26" s="28">
        <f>+manip_pt_mbike!I14+manip_pt_pc!I14+'manip_pt_b+c'!I14+'manip_pt_t+m'!I14+manip_pt_rail!I14+manip_pt_air_dom!I14+manip_pt_air_intra!I14+manip_pt_air_extra!I15</f>
        <v>49.31747902582492</v>
      </c>
      <c r="J26" s="28">
        <f>+manip_pt_mbike!J14+manip_pt_pc!J14+'manip_pt_b+c'!J14+'manip_pt_t+m'!J14+manip_pt_rail!J14+manip_pt_air_dom!J14+manip_pt_air_intra!J14+manip_pt_air_extra!J15</f>
        <v>915.632183</v>
      </c>
      <c r="K26" s="28">
        <f>+manip_pt_mbike!K14+manip_pt_pc!K14+'manip_pt_b+c'!K14+'manip_pt_t+m'!K14+manip_pt_rail!K14+manip_pt_air_dom!K14+manip_pt_air_intra!K14+manip_pt_air_extra!K15</f>
        <v>6.881372131580167</v>
      </c>
      <c r="L26" s="28">
        <f>+manip_pt_mbike!L14+manip_pt_pc!L14+'manip_pt_b+c'!L14+'manip_pt_t+m'!L14+manip_pt_rail!L14+manip_pt_air_dom!L14+manip_pt_air_intra!L14+manip_pt_air_extra!L15</f>
        <v>228.516619</v>
      </c>
      <c r="M26" s="28">
        <f>+manip_pt_mbike!M14+manip_pt_pc!M14+'manip_pt_b+c'!M14+'manip_pt_t+m'!M14+manip_pt_rail!M14+manip_pt_air_dom!M14+manip_pt_air_intra!M14+manip_pt_air_extra!M15</f>
        <v>109.21717360323973</v>
      </c>
      <c r="N26" s="28">
        <f>+manip_pt_mbike!N14+manip_pt_pc!N14+'manip_pt_b+c'!N14+'manip_pt_t+m'!N14+manip_pt_rail!N14+manip_pt_air_dom!N14+manip_pt_air_intra!N14+manip_pt_air_extra!N15</f>
        <v>114.966019</v>
      </c>
      <c r="O26" s="28">
        <f>+manip_pt_mbike!O14+manip_pt_pc!O14+'manip_pt_b+c'!O14+'manip_pt_t+m'!O14+manip_pt_rail!O14+manip_pt_air_dom!O14+manip_pt_air_intra!O14+manip_pt_air_extra!O15</f>
        <v>75.65718199999999</v>
      </c>
      <c r="P26" s="28">
        <f>+manip_pt_mbike!P14+manip_pt_pc!P14+'manip_pt_b+c'!P14+'manip_pt_t+m'!P14+manip_pt_rail!P14+manip_pt_air_dom!P14+manip_pt_air_intra!P14+manip_pt_air_extra!P15</f>
        <v>129.024766722799</v>
      </c>
      <c r="Q26" s="28">
        <f>+manip_pt_mbike!Q14+manip_pt_pc!Q14+'manip_pt_b+c'!Q14+'manip_pt_t+m'!Q14+manip_pt_rail!Q14+manip_pt_air_dom!Q14+manip_pt_air_intra!Q14+manip_pt_air_extra!Q15</f>
        <v>832.626432</v>
      </c>
      <c r="S26" s="53">
        <v>2000</v>
      </c>
      <c r="T26" s="28">
        <f>manip_pt_pc!B14+'manip_pt_b+c'!B14+'manip_pt_t+m'!B14+manip_pt_rail!B14+manip_pt_air_dom!B14+manip_pt_air_intra!B14+manip_pt_air_extra!B14</f>
        <v>4942.514024755309</v>
      </c>
      <c r="U26" s="28">
        <f>manip_pt_pc!C14+'manip_pt_b+c'!C14+'manip_pt_t+m'!C14+manip_pt_rail!C14+manip_pt_air_dom!C14+manip_pt_air_intra!C14+manip_pt_air_extra!C14</f>
        <v>146.27721599999998</v>
      </c>
      <c r="V26" s="28">
        <f>manip_pt_pc!D14+'manip_pt_b+c'!D14+'manip_pt_t+m'!D14+manip_pt_rail!D14+manip_pt_air_dom!D14+manip_pt_air_intra!D14+manip_pt_air_extra!D14</f>
        <v>78.72183085714286</v>
      </c>
      <c r="W26" s="28">
        <f>manip_pt_pc!E14+'manip_pt_b+c'!E14+'manip_pt_t+m'!E14+manip_pt_rail!E14+manip_pt_air_dom!E14+manip_pt_air_intra!E14+manip_pt_air_extra!E14</f>
        <v>969.3340588432942</v>
      </c>
      <c r="X26" s="28">
        <f>manip_pt_pc!F14+'manip_pt_b+c'!F14+'manip_pt_t+m'!F14+manip_pt_rail!F14+manip_pt_air_dom!F14+manip_pt_air_intra!F14+manip_pt_air_extra!F14</f>
        <v>51.31578000000001</v>
      </c>
      <c r="Y26" s="28">
        <f>manip_pt_pc!G14+'manip_pt_b+c'!G14+'manip_pt_t+m'!G14+manip_pt_rail!G14+manip_pt_air_dom!G14+manip_pt_air_intra!G14+manip_pt_air_extra!G14</f>
        <v>418.5050300000001</v>
      </c>
      <c r="Z26" s="28">
        <f>manip_pt_pc!H14+'manip_pt_b+c'!H14+'manip_pt_t+m'!H14+manip_pt_rail!H14+manip_pt_air_dom!H14+manip_pt_air_intra!H14+manip_pt_air_extra!H14</f>
        <v>909.39912</v>
      </c>
      <c r="AA26" s="28">
        <f>manip_pt_pc!I14+'manip_pt_b+c'!I14+'manip_pt_t+m'!I14+manip_pt_rail!I14+manip_pt_air_dom!I14+manip_pt_air_intra!I14+manip_pt_air_extra!I14</f>
        <v>47.79742602582492</v>
      </c>
      <c r="AB26" s="28">
        <f>manip_pt_pc!J14+'manip_pt_b+c'!J14+'manip_pt_t+m'!J14+manip_pt_rail!J14+manip_pt_air_dom!J14+manip_pt_air_intra!J14+manip_pt_air_extra!J14</f>
        <v>845.4615140000001</v>
      </c>
      <c r="AC26" s="28">
        <f>manip_pt_pc!K14+'manip_pt_b+c'!K14+'manip_pt_t+m'!K14+manip_pt_rail!K14+manip_pt_air_dom!K14+manip_pt_air_intra!K14+manip_pt_air_extra!K14</f>
        <v>7.007479131580167</v>
      </c>
      <c r="AD26" s="28">
        <f>manip_pt_pc!L14+'manip_pt_b+c'!L14+'manip_pt_t+m'!L14+manip_pt_rail!L14+manip_pt_air_dom!L14+manip_pt_air_intra!L14+manip_pt_air_extra!L14</f>
        <v>224.226893</v>
      </c>
      <c r="AE26" s="28">
        <f>manip_pt_pc!M14+'manip_pt_b+c'!M14+'manip_pt_t+m'!M14+manip_pt_rail!M14+manip_pt_air_dom!M14+manip_pt_air_intra!M14+manip_pt_air_extra!M14</f>
        <v>106.77177060323973</v>
      </c>
      <c r="AF26" s="28">
        <f>manip_pt_pc!N14+'manip_pt_b+c'!N14+'manip_pt_t+m'!N14+manip_pt_rail!N14+manip_pt_air_dom!N14+manip_pt_air_intra!N14+manip_pt_air_extra!N14</f>
        <v>107.36200799999999</v>
      </c>
      <c r="AG26" s="28">
        <f>manip_pt_pc!O14+'manip_pt_b+c'!O14+'manip_pt_t+m'!O14+manip_pt_rail!O14+manip_pt_air_dom!O14+manip_pt_air_intra!O14+manip_pt_air_extra!O14</f>
        <v>75.20026399999999</v>
      </c>
      <c r="AH26" s="28">
        <f>manip_pt_pc!P14+'manip_pt_b+c'!P14+'manip_pt_t+m'!P14+manip_pt_rail!P14+manip_pt_air_dom!P14+manip_pt_air_intra!P14+manip_pt_air_extra!P14</f>
        <v>127.84771029422755</v>
      </c>
      <c r="AI26" s="28">
        <f>manip_pt_pc!Q14+'manip_pt_b+c'!Q14+'manip_pt_t+m'!Q14+manip_pt_rail!Q14+manip_pt_air_dom!Q14+manip_pt_air_intra!Q14+manip_pt_air_extra!Q14</f>
        <v>827.285924</v>
      </c>
      <c r="AK26" s="53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U26" s="53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</row>
    <row r="27" spans="1:89" ht="11.25">
      <c r="A27" s="53">
        <v>2001</v>
      </c>
      <c r="B27" s="28" t="e">
        <f>+manip_pt_mbike!B15+manip_pt_pc!B15+'manip_pt_b+c'!B15+'manip_pt_t+m'!B15+manip_pt_rail!B15+manip_pt_air_dom!B15+manip_pt_air_intra!B15+manip_pt_air_extra!B16</f>
        <v>#N/A</v>
      </c>
      <c r="C27" s="28" t="e">
        <f>+manip_pt_mbike!C15+manip_pt_pc!C15+'manip_pt_b+c'!C15+'manip_pt_t+m'!C15+manip_pt_rail!C15+manip_pt_air_dom!C15+manip_pt_air_intra!C15+manip_pt_air_extra!C16</f>
        <v>#N/A</v>
      </c>
      <c r="D27" s="28" t="e">
        <f>+manip_pt_mbike!D15+manip_pt_pc!D15+'manip_pt_b+c'!D15+'manip_pt_t+m'!D15+manip_pt_rail!D15+manip_pt_air_dom!D15+manip_pt_air_intra!D15+manip_pt_air_extra!D16</f>
        <v>#N/A</v>
      </c>
      <c r="E27" s="28" t="e">
        <f>+manip_pt_mbike!E15+manip_pt_pc!E15+'manip_pt_b+c'!E15+'manip_pt_t+m'!E15+manip_pt_rail!E15+manip_pt_air_dom!E15+manip_pt_air_intra!E15+manip_pt_air_extra!E16</f>
        <v>#N/A</v>
      </c>
      <c r="F27" s="28" t="e">
        <f>+manip_pt_mbike!F15+manip_pt_pc!F15+'manip_pt_b+c'!F15+'manip_pt_t+m'!F15+manip_pt_rail!F15+manip_pt_air_dom!F15+manip_pt_air_intra!F15+manip_pt_air_extra!F16</f>
        <v>#N/A</v>
      </c>
      <c r="G27" s="28" t="e">
        <f>+manip_pt_mbike!G15+manip_pt_pc!G15+'manip_pt_b+c'!G15+'manip_pt_t+m'!G15+manip_pt_rail!G15+manip_pt_air_dom!G15+manip_pt_air_intra!G15+manip_pt_air_extra!G16</f>
        <v>#N/A</v>
      </c>
      <c r="H27" s="28" t="e">
        <f>+manip_pt_mbike!H15+manip_pt_pc!H15+'manip_pt_b+c'!H15+'manip_pt_t+m'!H15+manip_pt_rail!H15+manip_pt_air_dom!H15+manip_pt_air_intra!H15+manip_pt_air_extra!H16</f>
        <v>#N/A</v>
      </c>
      <c r="I27" s="28" t="e">
        <f>+manip_pt_mbike!I15+manip_pt_pc!I15+'manip_pt_b+c'!I15+'manip_pt_t+m'!I15+manip_pt_rail!I15+manip_pt_air_dom!I15+manip_pt_air_intra!I15+manip_pt_air_extra!I16</f>
        <v>#N/A</v>
      </c>
      <c r="J27" s="28" t="e">
        <f>+manip_pt_mbike!J15+manip_pt_pc!J15+'manip_pt_b+c'!J15+'manip_pt_t+m'!J15+manip_pt_rail!J15+manip_pt_air_dom!J15+manip_pt_air_intra!J15+manip_pt_air_extra!J16</f>
        <v>#N/A</v>
      </c>
      <c r="K27" s="28" t="e">
        <f>+manip_pt_mbike!K15+manip_pt_pc!K15+'manip_pt_b+c'!K15+'manip_pt_t+m'!K15+manip_pt_rail!K15+manip_pt_air_dom!K15+manip_pt_air_intra!K15+manip_pt_air_extra!K16</f>
        <v>#N/A</v>
      </c>
      <c r="L27" s="28" t="e">
        <f>+manip_pt_mbike!L15+manip_pt_pc!L15+'manip_pt_b+c'!L15+'manip_pt_t+m'!L15+manip_pt_rail!L15+manip_pt_air_dom!L15+manip_pt_air_intra!L15+manip_pt_air_extra!L16</f>
        <v>#N/A</v>
      </c>
      <c r="M27" s="28" t="e">
        <f>+manip_pt_mbike!M15+manip_pt_pc!M15+'manip_pt_b+c'!M15+'manip_pt_t+m'!M15+manip_pt_rail!M15+manip_pt_air_dom!M15+manip_pt_air_intra!M15+manip_pt_air_extra!M16</f>
        <v>#N/A</v>
      </c>
      <c r="N27" s="28" t="e">
        <f>+manip_pt_mbike!N15+manip_pt_pc!N15+'manip_pt_b+c'!N15+'manip_pt_t+m'!N15+manip_pt_rail!N15+manip_pt_air_dom!N15+manip_pt_air_intra!N15+manip_pt_air_extra!N16</f>
        <v>#N/A</v>
      </c>
      <c r="O27" s="28" t="e">
        <f>+manip_pt_mbike!O15+manip_pt_pc!O15+'manip_pt_b+c'!O15+'manip_pt_t+m'!O15+manip_pt_rail!O15+manip_pt_air_dom!O15+manip_pt_air_intra!O15+manip_pt_air_extra!O16</f>
        <v>#N/A</v>
      </c>
      <c r="P27" s="28" t="e">
        <f>+manip_pt_mbike!P15+manip_pt_pc!P15+'manip_pt_b+c'!P15+'manip_pt_t+m'!P15+manip_pt_rail!P15+manip_pt_air_dom!P15+manip_pt_air_intra!P15+manip_pt_air_extra!P16</f>
        <v>#N/A</v>
      </c>
      <c r="Q27" s="28" t="e">
        <f>+manip_pt_mbike!Q15+manip_pt_pc!Q15+'manip_pt_b+c'!Q15+'manip_pt_t+m'!Q15+manip_pt_rail!Q15+manip_pt_air_dom!Q15+manip_pt_air_intra!Q15+manip_pt_air_extra!Q16</f>
        <v>#N/A</v>
      </c>
      <c r="S27" s="53">
        <v>2001</v>
      </c>
      <c r="T27" s="28" t="e">
        <f>manip_pt_pc!B15+'manip_pt_b+c'!B15+'manip_pt_t+m'!B15+manip_pt_rail!B15+manip_pt_air_dom!B15+manip_pt_air_intra!B15+manip_pt_air_extra!B15</f>
        <v>#N/A</v>
      </c>
      <c r="U27" s="28" t="e">
        <f>manip_pt_pc!C15+'manip_pt_b+c'!C15+'manip_pt_t+m'!C15+manip_pt_rail!C15+manip_pt_air_dom!C15+manip_pt_air_intra!C15+manip_pt_air_extra!C15</f>
        <v>#N/A</v>
      </c>
      <c r="V27" s="28" t="e">
        <f>manip_pt_pc!D15+'manip_pt_b+c'!D15+'manip_pt_t+m'!D15+manip_pt_rail!D15+manip_pt_air_dom!D15+manip_pt_air_intra!D15+manip_pt_air_extra!D15</f>
        <v>#N/A</v>
      </c>
      <c r="W27" s="28" t="e">
        <f>manip_pt_pc!E15+'manip_pt_b+c'!E15+'manip_pt_t+m'!E15+manip_pt_rail!E15+manip_pt_air_dom!E15+manip_pt_air_intra!E15+manip_pt_air_extra!E15</f>
        <v>#N/A</v>
      </c>
      <c r="X27" s="28" t="e">
        <f>manip_pt_pc!F15+'manip_pt_b+c'!F15+'manip_pt_t+m'!F15+manip_pt_rail!F15+manip_pt_air_dom!F15+manip_pt_air_intra!F15+manip_pt_air_extra!F15</f>
        <v>#N/A</v>
      </c>
      <c r="Y27" s="28" t="e">
        <f>manip_pt_pc!G15+'manip_pt_b+c'!G15+'manip_pt_t+m'!G15+manip_pt_rail!G15+manip_pt_air_dom!G15+manip_pt_air_intra!G15+manip_pt_air_extra!G15</f>
        <v>#N/A</v>
      </c>
      <c r="Z27" s="28" t="e">
        <f>manip_pt_pc!H15+'manip_pt_b+c'!H15+'manip_pt_t+m'!H15+manip_pt_rail!H15+manip_pt_air_dom!H15+manip_pt_air_intra!H15+manip_pt_air_extra!H15</f>
        <v>#N/A</v>
      </c>
      <c r="AA27" s="28" t="e">
        <f>manip_pt_pc!I15+'manip_pt_b+c'!I15+'manip_pt_t+m'!I15+manip_pt_rail!I15+manip_pt_air_dom!I15+manip_pt_air_intra!I15+manip_pt_air_extra!I15</f>
        <v>#N/A</v>
      </c>
      <c r="AB27" s="28" t="e">
        <f>manip_pt_pc!J15+'manip_pt_b+c'!J15+'manip_pt_t+m'!J15+manip_pt_rail!J15+manip_pt_air_dom!J15+manip_pt_air_intra!J15+manip_pt_air_extra!J15</f>
        <v>#N/A</v>
      </c>
      <c r="AC27" s="28" t="e">
        <f>manip_pt_pc!K15+'manip_pt_b+c'!K15+'manip_pt_t+m'!K15+manip_pt_rail!K15+manip_pt_air_dom!K15+manip_pt_air_intra!K15+manip_pt_air_extra!K15</f>
        <v>#N/A</v>
      </c>
      <c r="AD27" s="28" t="e">
        <f>manip_pt_pc!L15+'manip_pt_b+c'!L15+'manip_pt_t+m'!L15+manip_pt_rail!L15+manip_pt_air_dom!L15+manip_pt_air_intra!L15+manip_pt_air_extra!L15</f>
        <v>#N/A</v>
      </c>
      <c r="AE27" s="28" t="e">
        <f>manip_pt_pc!M15+'manip_pt_b+c'!M15+'manip_pt_t+m'!M15+manip_pt_rail!M15+manip_pt_air_dom!M15+manip_pt_air_intra!M15+manip_pt_air_extra!M15</f>
        <v>#N/A</v>
      </c>
      <c r="AF27" s="28" t="e">
        <f>manip_pt_pc!N15+'manip_pt_b+c'!N15+'manip_pt_t+m'!N15+manip_pt_rail!N15+manip_pt_air_dom!N15+manip_pt_air_intra!N15+manip_pt_air_extra!N15</f>
        <v>#N/A</v>
      </c>
      <c r="AG27" s="28" t="e">
        <f>manip_pt_pc!O15+'manip_pt_b+c'!O15+'manip_pt_t+m'!O15+manip_pt_rail!O15+manip_pt_air_dom!O15+manip_pt_air_intra!O15+manip_pt_air_extra!O15</f>
        <v>#N/A</v>
      </c>
      <c r="AH27" s="28" t="e">
        <f>manip_pt_pc!P15+'manip_pt_b+c'!P15+'manip_pt_t+m'!P15+manip_pt_rail!P15+manip_pt_air_dom!P15+manip_pt_air_intra!P15+manip_pt_air_extra!P15</f>
        <v>#N/A</v>
      </c>
      <c r="AI27" s="28" t="e">
        <f>manip_pt_pc!Q15+'manip_pt_b+c'!Q15+'manip_pt_t+m'!Q15+manip_pt_rail!Q15+manip_pt_air_dom!Q15+manip_pt_air_intra!Q15+manip_pt_air_extra!Q15</f>
        <v>#N/A</v>
      </c>
      <c r="AK27" s="53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U27" s="53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</row>
    <row r="28" spans="1:53" ht="11.25">
      <c r="A28" s="3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S28" s="3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31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ht="11.25">
      <c r="A29" s="30" t="s">
        <v>51</v>
      </c>
      <c r="B29" s="30" t="s">
        <v>103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S29" s="30" t="s">
        <v>51</v>
      </c>
      <c r="T29" s="30" t="s">
        <v>103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K29" s="30"/>
      <c r="AL29" s="30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1" spans="1:19" ht="11.25">
      <c r="A31" s="6" t="s">
        <v>127</v>
      </c>
      <c r="S31" s="6" t="s">
        <v>127</v>
      </c>
    </row>
    <row r="32" spans="2:53" ht="11.25">
      <c r="B32" s="111" t="e">
        <f>+B25/B17-1</f>
        <v>#N/A</v>
      </c>
      <c r="C32" s="111" t="e">
        <f aca="true" t="shared" si="0" ref="C32:Q32">+C25/C17-1</f>
        <v>#N/A</v>
      </c>
      <c r="D32" s="111" t="e">
        <f t="shared" si="0"/>
        <v>#N/A</v>
      </c>
      <c r="E32" s="111" t="e">
        <f t="shared" si="0"/>
        <v>#N/A</v>
      </c>
      <c r="F32" s="111" t="e">
        <f t="shared" si="0"/>
        <v>#N/A</v>
      </c>
      <c r="G32" s="111" t="e">
        <f t="shared" si="0"/>
        <v>#N/A</v>
      </c>
      <c r="H32" s="111" t="e">
        <f t="shared" si="0"/>
        <v>#N/A</v>
      </c>
      <c r="I32" s="111" t="e">
        <f t="shared" si="0"/>
        <v>#N/A</v>
      </c>
      <c r="J32" s="111" t="e">
        <f t="shared" si="0"/>
        <v>#N/A</v>
      </c>
      <c r="K32" s="111" t="e">
        <f t="shared" si="0"/>
        <v>#N/A</v>
      </c>
      <c r="L32" s="111" t="e">
        <f t="shared" si="0"/>
        <v>#N/A</v>
      </c>
      <c r="M32" s="111" t="e">
        <f t="shared" si="0"/>
        <v>#N/A</v>
      </c>
      <c r="N32" s="111" t="e">
        <f t="shared" si="0"/>
        <v>#N/A</v>
      </c>
      <c r="O32" s="111" t="e">
        <f t="shared" si="0"/>
        <v>#N/A</v>
      </c>
      <c r="P32" s="111" t="e">
        <f t="shared" si="0"/>
        <v>#N/A</v>
      </c>
      <c r="Q32" s="111" t="e">
        <f t="shared" si="0"/>
        <v>#N/A</v>
      </c>
      <c r="T32" s="111">
        <f>+T68/T17-1</f>
        <v>-1</v>
      </c>
      <c r="U32" s="111">
        <f aca="true" t="shared" si="1" ref="U32:AI32">+U25/U17-1</f>
        <v>0.30764657125150374</v>
      </c>
      <c r="V32" s="111">
        <f t="shared" si="1"/>
        <v>0.17439777229216102</v>
      </c>
      <c r="W32" s="111">
        <f t="shared" si="1"/>
        <v>0.0995347010222436</v>
      </c>
      <c r="X32" s="111">
        <f t="shared" si="1"/>
        <v>0.4801844180044259</v>
      </c>
      <c r="Y32" s="111">
        <f t="shared" si="1"/>
        <v>0.5461292446205039</v>
      </c>
      <c r="Z32" s="111">
        <f t="shared" si="1"/>
        <v>0.18425906239672352</v>
      </c>
      <c r="AA32" s="111">
        <f t="shared" si="1"/>
        <v>0.5661564493337166</v>
      </c>
      <c r="AB32" s="111">
        <f t="shared" si="1"/>
        <v>0.20976819731408414</v>
      </c>
      <c r="AC32" s="111">
        <f t="shared" si="1"/>
        <v>0.3310325756670489</v>
      </c>
      <c r="AD32" s="111">
        <f t="shared" si="1"/>
        <v>0.2695148636833129</v>
      </c>
      <c r="AE32" s="111">
        <f t="shared" si="1"/>
        <v>0.06519498827792458</v>
      </c>
      <c r="AF32" s="111">
        <f t="shared" si="1"/>
        <v>0.5931275141871188</v>
      </c>
      <c r="AG32" s="111">
        <f t="shared" si="1"/>
        <v>0.19188012745915284</v>
      </c>
      <c r="AH32" s="111">
        <f t="shared" si="1"/>
        <v>0.10636474475315572</v>
      </c>
      <c r="AI32" s="111">
        <f t="shared" si="1"/>
        <v>0.12561104071197593</v>
      </c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</row>
    <row r="33" spans="2:17" ht="11.2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1:89" ht="11.25">
      <c r="A34" s="3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BU34" s="2"/>
      <c r="BV34" s="52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</row>
    <row r="35" spans="1:89" ht="11.25">
      <c r="A35" s="2" t="s">
        <v>240</v>
      </c>
      <c r="B35" s="5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S35" s="2"/>
      <c r="AK35" s="2"/>
      <c r="BU35" s="29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46"/>
    </row>
    <row r="36" spans="1:89" ht="11.25">
      <c r="A36" s="29" t="s">
        <v>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46"/>
      <c r="S36" s="29"/>
      <c r="AK36" s="29"/>
      <c r="BU36" s="29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46"/>
    </row>
    <row r="37" spans="1:89" ht="11.25">
      <c r="A37" s="29"/>
      <c r="B37" s="120" t="s">
        <v>5</v>
      </c>
      <c r="C37" s="120" t="s">
        <v>7</v>
      </c>
      <c r="D37" s="120" t="s">
        <v>8</v>
      </c>
      <c r="E37" s="120" t="s">
        <v>9</v>
      </c>
      <c r="F37" s="120" t="s">
        <v>10</v>
      </c>
      <c r="G37" s="120" t="s">
        <v>11</v>
      </c>
      <c r="H37" s="120" t="s">
        <v>12</v>
      </c>
      <c r="I37" s="120" t="s">
        <v>13</v>
      </c>
      <c r="J37" s="120" t="s">
        <v>14</v>
      </c>
      <c r="K37" s="120" t="s">
        <v>15</v>
      </c>
      <c r="L37" s="120" t="s">
        <v>16</v>
      </c>
      <c r="M37" s="120" t="s">
        <v>17</v>
      </c>
      <c r="N37" s="120" t="s">
        <v>18</v>
      </c>
      <c r="O37" s="120" t="s">
        <v>19</v>
      </c>
      <c r="P37" s="120" t="s">
        <v>20</v>
      </c>
      <c r="Q37" s="120" t="s">
        <v>21</v>
      </c>
      <c r="S37" s="2"/>
      <c r="AK37" s="2"/>
      <c r="BU37" s="31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46"/>
    </row>
    <row r="38" spans="1:89" ht="11.25">
      <c r="A38" s="31" t="s">
        <v>240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4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</row>
    <row r="39" spans="1:89" ht="11.25" customHeight="1" hidden="1" outlineLevel="1">
      <c r="A39" s="37"/>
      <c r="B39" s="120" t="s">
        <v>5</v>
      </c>
      <c r="C39" s="120" t="s">
        <v>7</v>
      </c>
      <c r="D39" s="120" t="s">
        <v>8</v>
      </c>
      <c r="E39" s="120" t="s">
        <v>9</v>
      </c>
      <c r="F39" s="120" t="s">
        <v>10</v>
      </c>
      <c r="G39" s="120" t="s">
        <v>11</v>
      </c>
      <c r="H39" s="120" t="s">
        <v>12</v>
      </c>
      <c r="I39" s="120" t="s">
        <v>13</v>
      </c>
      <c r="J39" s="120" t="s">
        <v>14</v>
      </c>
      <c r="K39" s="120" t="s">
        <v>15</v>
      </c>
      <c r="L39" s="120" t="s">
        <v>16</v>
      </c>
      <c r="M39" s="120" t="s">
        <v>17</v>
      </c>
      <c r="N39" s="120" t="s">
        <v>18</v>
      </c>
      <c r="O39" s="120" t="s">
        <v>19</v>
      </c>
      <c r="P39" s="120" t="s">
        <v>20</v>
      </c>
      <c r="Q39" s="120" t="s">
        <v>21</v>
      </c>
      <c r="S39" s="53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K39" s="53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U39" s="53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</row>
    <row r="40" spans="1:89" ht="11.25" customHeight="1" hidden="1" outlineLevel="1">
      <c r="A40" s="53">
        <v>1980</v>
      </c>
      <c r="B40" s="28" t="e">
        <f>manip_pt_pc!#REF!+'manip_pt_b+c'!#REF!+'manip_pt_t+m'!#REF!+manip_pt_rail!#REF!+manip_pt_air_dom!#REF!</f>
        <v>#REF!</v>
      </c>
      <c r="C40" s="28" t="e">
        <f>manip_pt_pc!#REF!+'manip_pt_b+c'!#REF!+'manip_pt_t+m'!#REF!+manip_pt_rail!#REF!+manip_pt_air_dom!#REF!</f>
        <v>#REF!</v>
      </c>
      <c r="D40" s="28" t="e">
        <f>manip_pt_pc!#REF!+'manip_pt_b+c'!#REF!+'manip_pt_t+m'!#REF!+manip_pt_rail!#REF!+manip_pt_air_dom!#REF!</f>
        <v>#REF!</v>
      </c>
      <c r="E40" s="28" t="e">
        <f>manip_pt_pc!#REF!+'manip_pt_b+c'!#REF!+'manip_pt_t+m'!#REF!+manip_pt_rail!#REF!+manip_pt_air_dom!#REF!</f>
        <v>#REF!</v>
      </c>
      <c r="F40" s="28" t="e">
        <f>manip_pt_pc!#REF!+'manip_pt_b+c'!#REF!+'manip_pt_t+m'!#REF!+manip_pt_rail!#REF!+manip_pt_air_dom!#REF!</f>
        <v>#REF!</v>
      </c>
      <c r="G40" s="28" t="e">
        <f>manip_pt_pc!#REF!+'manip_pt_b+c'!#REF!+'manip_pt_t+m'!#REF!+manip_pt_rail!#REF!+manip_pt_air_dom!#REF!</f>
        <v>#REF!</v>
      </c>
      <c r="H40" s="28" t="e">
        <f>manip_pt_pc!#REF!+'manip_pt_b+c'!#REF!+'manip_pt_t+m'!#REF!+manip_pt_rail!#REF!+manip_pt_air_dom!#REF!</f>
        <v>#REF!</v>
      </c>
      <c r="I40" s="28" t="e">
        <f>manip_pt_pc!#REF!+'manip_pt_b+c'!#REF!+'manip_pt_t+m'!#REF!+manip_pt_rail!#REF!+manip_pt_air_dom!#REF!</f>
        <v>#REF!</v>
      </c>
      <c r="J40" s="28" t="e">
        <f>manip_pt_pc!#REF!+'manip_pt_b+c'!#REF!+'manip_pt_t+m'!#REF!+manip_pt_rail!#REF!+manip_pt_air_dom!#REF!</f>
        <v>#REF!</v>
      </c>
      <c r="K40" s="28" t="e">
        <f>manip_pt_pc!#REF!+'manip_pt_b+c'!#REF!+'manip_pt_t+m'!#REF!+manip_pt_rail!#REF!+manip_pt_air_dom!#REF!</f>
        <v>#REF!</v>
      </c>
      <c r="L40" s="28" t="e">
        <f>manip_pt_pc!#REF!+'manip_pt_b+c'!#REF!+'manip_pt_t+m'!#REF!+manip_pt_rail!#REF!+manip_pt_air_dom!#REF!</f>
        <v>#REF!</v>
      </c>
      <c r="M40" s="28" t="e">
        <f>manip_pt_pc!#REF!+'manip_pt_b+c'!#REF!+'manip_pt_t+m'!#REF!+manip_pt_rail!#REF!+manip_pt_air_dom!#REF!</f>
        <v>#REF!</v>
      </c>
      <c r="N40" s="28" t="e">
        <f>manip_pt_pc!#REF!+'manip_pt_b+c'!#REF!+'manip_pt_t+m'!#REF!+manip_pt_rail!#REF!+manip_pt_air_dom!#REF!</f>
        <v>#REF!</v>
      </c>
      <c r="O40" s="28" t="e">
        <f>manip_pt_pc!#REF!+'manip_pt_b+c'!#REF!+'manip_pt_t+m'!#REF!+manip_pt_rail!#REF!+manip_pt_air_dom!#REF!</f>
        <v>#REF!</v>
      </c>
      <c r="P40" s="28" t="e">
        <f>manip_pt_pc!#REF!+'manip_pt_b+c'!#REF!+'manip_pt_t+m'!#REF!+manip_pt_rail!#REF!+manip_pt_air_dom!#REF!</f>
        <v>#REF!</v>
      </c>
      <c r="Q40" s="28" t="e">
        <f>manip_pt_pc!#REF!+'manip_pt_b+c'!#REF!+'manip_pt_t+m'!#REF!+manip_pt_rail!#REF!+manip_pt_air_dom!#REF!</f>
        <v>#REF!</v>
      </c>
      <c r="S40" s="53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K40" s="53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U40" s="53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</row>
    <row r="41" spans="1:89" ht="11.25" customHeight="1" hidden="1" outlineLevel="1">
      <c r="A41" s="53">
        <v>1981</v>
      </c>
      <c r="B41" s="28" t="e">
        <f>manip_pt_pc!#REF!+'manip_pt_b+c'!#REF!+'manip_pt_t+m'!#REF!+manip_pt_rail!#REF!+manip_pt_air_dom!#REF!</f>
        <v>#REF!</v>
      </c>
      <c r="C41" s="28" t="e">
        <f>manip_pt_pc!#REF!+'manip_pt_b+c'!#REF!+'manip_pt_t+m'!#REF!+manip_pt_rail!#REF!+manip_pt_air_dom!#REF!</f>
        <v>#REF!</v>
      </c>
      <c r="D41" s="28" t="e">
        <f>manip_pt_pc!#REF!+'manip_pt_b+c'!#REF!+'manip_pt_t+m'!#REF!+manip_pt_rail!#REF!+manip_pt_air_dom!#REF!</f>
        <v>#REF!</v>
      </c>
      <c r="E41" s="28" t="e">
        <f>manip_pt_pc!#REF!+'manip_pt_b+c'!#REF!+'manip_pt_t+m'!#REF!+manip_pt_rail!#REF!+manip_pt_air_dom!#REF!</f>
        <v>#REF!</v>
      </c>
      <c r="F41" s="28" t="e">
        <f>manip_pt_pc!#REF!+'manip_pt_b+c'!#REF!+'manip_pt_t+m'!#REF!+manip_pt_rail!#REF!+manip_pt_air_dom!#REF!</f>
        <v>#REF!</v>
      </c>
      <c r="G41" s="28" t="e">
        <f>manip_pt_pc!#REF!+'manip_pt_b+c'!#REF!+'manip_pt_t+m'!#REF!+manip_pt_rail!#REF!+manip_pt_air_dom!#REF!</f>
        <v>#REF!</v>
      </c>
      <c r="H41" s="28" t="e">
        <f>manip_pt_pc!#REF!+'manip_pt_b+c'!#REF!+'manip_pt_t+m'!#REF!+manip_pt_rail!#REF!+manip_pt_air_dom!#REF!</f>
        <v>#REF!</v>
      </c>
      <c r="I41" s="28" t="e">
        <f>manip_pt_pc!#REF!+'manip_pt_b+c'!#REF!+'manip_pt_t+m'!#REF!+manip_pt_rail!#REF!+manip_pt_air_dom!#REF!</f>
        <v>#REF!</v>
      </c>
      <c r="J41" s="28" t="e">
        <f>manip_pt_pc!#REF!+'manip_pt_b+c'!#REF!+'manip_pt_t+m'!#REF!+manip_pt_rail!#REF!+manip_pt_air_dom!#REF!</f>
        <v>#REF!</v>
      </c>
      <c r="K41" s="28" t="e">
        <f>manip_pt_pc!#REF!+'manip_pt_b+c'!#REF!+'manip_pt_t+m'!#REF!+manip_pt_rail!#REF!+manip_pt_air_dom!#REF!</f>
        <v>#REF!</v>
      </c>
      <c r="L41" s="28" t="e">
        <f>manip_pt_pc!#REF!+'manip_pt_b+c'!#REF!+'manip_pt_t+m'!#REF!+manip_pt_rail!#REF!+manip_pt_air_dom!#REF!</f>
        <v>#REF!</v>
      </c>
      <c r="M41" s="28" t="e">
        <f>manip_pt_pc!#REF!+'manip_pt_b+c'!#REF!+'manip_pt_t+m'!#REF!+manip_pt_rail!#REF!+manip_pt_air_dom!#REF!</f>
        <v>#REF!</v>
      </c>
      <c r="N41" s="28" t="e">
        <f>manip_pt_pc!#REF!+'manip_pt_b+c'!#REF!+'manip_pt_t+m'!#REF!+manip_pt_rail!#REF!+manip_pt_air_dom!#REF!</f>
        <v>#REF!</v>
      </c>
      <c r="O41" s="28" t="e">
        <f>manip_pt_pc!#REF!+'manip_pt_b+c'!#REF!+'manip_pt_t+m'!#REF!+manip_pt_rail!#REF!+manip_pt_air_dom!#REF!</f>
        <v>#REF!</v>
      </c>
      <c r="P41" s="28" t="e">
        <f>manip_pt_pc!#REF!+'manip_pt_b+c'!#REF!+'manip_pt_t+m'!#REF!+manip_pt_rail!#REF!+manip_pt_air_dom!#REF!</f>
        <v>#REF!</v>
      </c>
      <c r="Q41" s="28" t="e">
        <f>manip_pt_pc!#REF!+'manip_pt_b+c'!#REF!+'manip_pt_t+m'!#REF!+manip_pt_rail!#REF!+manip_pt_air_dom!#REF!</f>
        <v>#REF!</v>
      </c>
      <c r="S41" s="53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K41" s="53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U41" s="53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</row>
    <row r="42" spans="1:89" ht="11.25" customHeight="1" hidden="1" outlineLevel="1">
      <c r="A42" s="53">
        <v>1982</v>
      </c>
      <c r="B42" s="28" t="e">
        <f>manip_pt_pc!#REF!+'manip_pt_b+c'!#REF!+'manip_pt_t+m'!#REF!+manip_pt_rail!#REF!+manip_pt_air_dom!#REF!</f>
        <v>#REF!</v>
      </c>
      <c r="C42" s="28" t="e">
        <f>manip_pt_pc!#REF!+'manip_pt_b+c'!#REF!+'manip_pt_t+m'!#REF!+manip_pt_rail!#REF!+manip_pt_air_dom!#REF!</f>
        <v>#REF!</v>
      </c>
      <c r="D42" s="28" t="e">
        <f>manip_pt_pc!#REF!+'manip_pt_b+c'!#REF!+'manip_pt_t+m'!#REF!+manip_pt_rail!#REF!+manip_pt_air_dom!#REF!</f>
        <v>#REF!</v>
      </c>
      <c r="E42" s="28" t="e">
        <f>manip_pt_pc!#REF!+'manip_pt_b+c'!#REF!+'manip_pt_t+m'!#REF!+manip_pt_rail!#REF!+manip_pt_air_dom!#REF!</f>
        <v>#REF!</v>
      </c>
      <c r="F42" s="28" t="e">
        <f>manip_pt_pc!#REF!+'manip_pt_b+c'!#REF!+'manip_pt_t+m'!#REF!+manip_pt_rail!#REF!+manip_pt_air_dom!#REF!</f>
        <v>#REF!</v>
      </c>
      <c r="G42" s="28" t="e">
        <f>manip_pt_pc!#REF!+'manip_pt_b+c'!#REF!+'manip_pt_t+m'!#REF!+manip_pt_rail!#REF!+manip_pt_air_dom!#REF!</f>
        <v>#REF!</v>
      </c>
      <c r="H42" s="28" t="e">
        <f>manip_pt_pc!#REF!+'manip_pt_b+c'!#REF!+'manip_pt_t+m'!#REF!+manip_pt_rail!#REF!+manip_pt_air_dom!#REF!</f>
        <v>#REF!</v>
      </c>
      <c r="I42" s="28" t="e">
        <f>manip_pt_pc!#REF!+'manip_pt_b+c'!#REF!+'manip_pt_t+m'!#REF!+manip_pt_rail!#REF!+manip_pt_air_dom!#REF!</f>
        <v>#REF!</v>
      </c>
      <c r="J42" s="28" t="e">
        <f>manip_pt_pc!#REF!+'manip_pt_b+c'!#REF!+'manip_pt_t+m'!#REF!+manip_pt_rail!#REF!+manip_pt_air_dom!#REF!</f>
        <v>#REF!</v>
      </c>
      <c r="K42" s="28" t="e">
        <f>manip_pt_pc!#REF!+'manip_pt_b+c'!#REF!+'manip_pt_t+m'!#REF!+manip_pt_rail!#REF!+manip_pt_air_dom!#REF!</f>
        <v>#REF!</v>
      </c>
      <c r="L42" s="28" t="e">
        <f>manip_pt_pc!#REF!+'manip_pt_b+c'!#REF!+'manip_pt_t+m'!#REF!+manip_pt_rail!#REF!+manip_pt_air_dom!#REF!</f>
        <v>#REF!</v>
      </c>
      <c r="M42" s="28" t="e">
        <f>manip_pt_pc!#REF!+'manip_pt_b+c'!#REF!+'manip_pt_t+m'!#REF!+manip_pt_rail!#REF!+manip_pt_air_dom!#REF!</f>
        <v>#REF!</v>
      </c>
      <c r="N42" s="28" t="e">
        <f>manip_pt_pc!#REF!+'manip_pt_b+c'!#REF!+'manip_pt_t+m'!#REF!+manip_pt_rail!#REF!+manip_pt_air_dom!#REF!</f>
        <v>#REF!</v>
      </c>
      <c r="O42" s="28" t="e">
        <f>manip_pt_pc!#REF!+'manip_pt_b+c'!#REF!+'manip_pt_t+m'!#REF!+manip_pt_rail!#REF!+manip_pt_air_dom!#REF!</f>
        <v>#REF!</v>
      </c>
      <c r="P42" s="28" t="e">
        <f>manip_pt_pc!#REF!+'manip_pt_b+c'!#REF!+'manip_pt_t+m'!#REF!+manip_pt_rail!#REF!+manip_pt_air_dom!#REF!</f>
        <v>#REF!</v>
      </c>
      <c r="Q42" s="28" t="e">
        <f>manip_pt_pc!#REF!+'manip_pt_b+c'!#REF!+'manip_pt_t+m'!#REF!+manip_pt_rail!#REF!+manip_pt_air_dom!#REF!</f>
        <v>#REF!</v>
      </c>
      <c r="S42" s="53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K42" s="53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U42" s="53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</row>
    <row r="43" spans="1:89" ht="11.25" customHeight="1" hidden="1" outlineLevel="1">
      <c r="A43" s="53">
        <v>1983</v>
      </c>
      <c r="B43" s="28" t="e">
        <f>manip_pt_pc!#REF!+'manip_pt_b+c'!#REF!+'manip_pt_t+m'!#REF!+manip_pt_rail!#REF!+manip_pt_air_dom!#REF!</f>
        <v>#REF!</v>
      </c>
      <c r="C43" s="28" t="e">
        <f>manip_pt_pc!#REF!+'manip_pt_b+c'!#REF!+'manip_pt_t+m'!#REF!+manip_pt_rail!#REF!+manip_pt_air_dom!#REF!</f>
        <v>#REF!</v>
      </c>
      <c r="D43" s="28" t="e">
        <f>manip_pt_pc!#REF!+'manip_pt_b+c'!#REF!+'manip_pt_t+m'!#REF!+manip_pt_rail!#REF!+manip_pt_air_dom!#REF!</f>
        <v>#REF!</v>
      </c>
      <c r="E43" s="28" t="e">
        <f>manip_pt_pc!#REF!+'manip_pt_b+c'!#REF!+'manip_pt_t+m'!#REF!+manip_pt_rail!#REF!+manip_pt_air_dom!#REF!</f>
        <v>#REF!</v>
      </c>
      <c r="F43" s="28" t="e">
        <f>manip_pt_pc!#REF!+'manip_pt_b+c'!#REF!+'manip_pt_t+m'!#REF!+manip_pt_rail!#REF!+manip_pt_air_dom!#REF!</f>
        <v>#REF!</v>
      </c>
      <c r="G43" s="28" t="e">
        <f>manip_pt_pc!#REF!+'manip_pt_b+c'!#REF!+'manip_pt_t+m'!#REF!+manip_pt_rail!#REF!+manip_pt_air_dom!#REF!</f>
        <v>#REF!</v>
      </c>
      <c r="H43" s="28" t="e">
        <f>manip_pt_pc!#REF!+'manip_pt_b+c'!#REF!+'manip_pt_t+m'!#REF!+manip_pt_rail!#REF!+manip_pt_air_dom!#REF!</f>
        <v>#REF!</v>
      </c>
      <c r="I43" s="28" t="e">
        <f>manip_pt_pc!#REF!+'manip_pt_b+c'!#REF!+'manip_pt_t+m'!#REF!+manip_pt_rail!#REF!+manip_pt_air_dom!#REF!</f>
        <v>#REF!</v>
      </c>
      <c r="J43" s="28" t="e">
        <f>manip_pt_pc!#REF!+'manip_pt_b+c'!#REF!+'manip_pt_t+m'!#REF!+manip_pt_rail!#REF!+manip_pt_air_dom!#REF!</f>
        <v>#REF!</v>
      </c>
      <c r="K43" s="28" t="e">
        <f>manip_pt_pc!#REF!+'manip_pt_b+c'!#REF!+'manip_pt_t+m'!#REF!+manip_pt_rail!#REF!+manip_pt_air_dom!#REF!</f>
        <v>#REF!</v>
      </c>
      <c r="L43" s="28" t="e">
        <f>manip_pt_pc!#REF!+'manip_pt_b+c'!#REF!+'manip_pt_t+m'!#REF!+manip_pt_rail!#REF!+manip_pt_air_dom!#REF!</f>
        <v>#REF!</v>
      </c>
      <c r="M43" s="28" t="e">
        <f>manip_pt_pc!#REF!+'manip_pt_b+c'!#REF!+'manip_pt_t+m'!#REF!+manip_pt_rail!#REF!+manip_pt_air_dom!#REF!</f>
        <v>#REF!</v>
      </c>
      <c r="N43" s="28" t="e">
        <f>manip_pt_pc!#REF!+'manip_pt_b+c'!#REF!+'manip_pt_t+m'!#REF!+manip_pt_rail!#REF!+manip_pt_air_dom!#REF!</f>
        <v>#REF!</v>
      </c>
      <c r="O43" s="28" t="e">
        <f>manip_pt_pc!#REF!+'manip_pt_b+c'!#REF!+'manip_pt_t+m'!#REF!+manip_pt_rail!#REF!+manip_pt_air_dom!#REF!</f>
        <v>#REF!</v>
      </c>
      <c r="P43" s="28" t="e">
        <f>manip_pt_pc!#REF!+'manip_pt_b+c'!#REF!+'manip_pt_t+m'!#REF!+manip_pt_rail!#REF!+manip_pt_air_dom!#REF!</f>
        <v>#REF!</v>
      </c>
      <c r="Q43" s="28" t="e">
        <f>manip_pt_pc!#REF!+'manip_pt_b+c'!#REF!+'manip_pt_t+m'!#REF!+manip_pt_rail!#REF!+manip_pt_air_dom!#REF!</f>
        <v>#REF!</v>
      </c>
      <c r="S43" s="53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K43" s="53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U43" s="53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</row>
    <row r="44" spans="1:89" ht="11.25" customHeight="1" hidden="1" outlineLevel="1">
      <c r="A44" s="53">
        <v>1984</v>
      </c>
      <c r="B44" s="28" t="e">
        <f>manip_pt_pc!#REF!+'manip_pt_b+c'!#REF!+'manip_pt_t+m'!#REF!+manip_pt_rail!#REF!+manip_pt_air_dom!#REF!</f>
        <v>#REF!</v>
      </c>
      <c r="C44" s="28" t="e">
        <f>manip_pt_pc!#REF!+'manip_pt_b+c'!#REF!+'manip_pt_t+m'!#REF!+manip_pt_rail!#REF!+manip_pt_air_dom!#REF!</f>
        <v>#REF!</v>
      </c>
      <c r="D44" s="28" t="e">
        <f>manip_pt_pc!#REF!+'manip_pt_b+c'!#REF!+'manip_pt_t+m'!#REF!+manip_pt_rail!#REF!+manip_pt_air_dom!#REF!</f>
        <v>#REF!</v>
      </c>
      <c r="E44" s="28" t="e">
        <f>manip_pt_pc!#REF!+'manip_pt_b+c'!#REF!+'manip_pt_t+m'!#REF!+manip_pt_rail!#REF!+manip_pt_air_dom!#REF!</f>
        <v>#REF!</v>
      </c>
      <c r="F44" s="28" t="e">
        <f>manip_pt_pc!#REF!+'manip_pt_b+c'!#REF!+'manip_pt_t+m'!#REF!+manip_pt_rail!#REF!+manip_pt_air_dom!#REF!</f>
        <v>#REF!</v>
      </c>
      <c r="G44" s="28" t="e">
        <f>manip_pt_pc!#REF!+'manip_pt_b+c'!#REF!+'manip_pt_t+m'!#REF!+manip_pt_rail!#REF!+manip_pt_air_dom!#REF!</f>
        <v>#REF!</v>
      </c>
      <c r="H44" s="28" t="e">
        <f>manip_pt_pc!#REF!+'manip_pt_b+c'!#REF!+'manip_pt_t+m'!#REF!+manip_pt_rail!#REF!+manip_pt_air_dom!#REF!</f>
        <v>#REF!</v>
      </c>
      <c r="I44" s="28" t="e">
        <f>manip_pt_pc!#REF!+'manip_pt_b+c'!#REF!+'manip_pt_t+m'!#REF!+manip_pt_rail!#REF!+manip_pt_air_dom!#REF!</f>
        <v>#REF!</v>
      </c>
      <c r="J44" s="28" t="e">
        <f>manip_pt_pc!#REF!+'manip_pt_b+c'!#REF!+'manip_pt_t+m'!#REF!+manip_pt_rail!#REF!+manip_pt_air_dom!#REF!</f>
        <v>#REF!</v>
      </c>
      <c r="K44" s="28" t="e">
        <f>manip_pt_pc!#REF!+'manip_pt_b+c'!#REF!+'manip_pt_t+m'!#REF!+manip_pt_rail!#REF!+manip_pt_air_dom!#REF!</f>
        <v>#REF!</v>
      </c>
      <c r="L44" s="28" t="e">
        <f>manip_pt_pc!#REF!+'manip_pt_b+c'!#REF!+'manip_pt_t+m'!#REF!+manip_pt_rail!#REF!+manip_pt_air_dom!#REF!</f>
        <v>#REF!</v>
      </c>
      <c r="M44" s="28" t="e">
        <f>manip_pt_pc!#REF!+'manip_pt_b+c'!#REF!+'manip_pt_t+m'!#REF!+manip_pt_rail!#REF!+manip_pt_air_dom!#REF!</f>
        <v>#REF!</v>
      </c>
      <c r="N44" s="28" t="e">
        <f>manip_pt_pc!#REF!+'manip_pt_b+c'!#REF!+'manip_pt_t+m'!#REF!+manip_pt_rail!#REF!+manip_pt_air_dom!#REF!</f>
        <v>#REF!</v>
      </c>
      <c r="O44" s="28" t="e">
        <f>manip_pt_pc!#REF!+'manip_pt_b+c'!#REF!+'manip_pt_t+m'!#REF!+manip_pt_rail!#REF!+manip_pt_air_dom!#REF!</f>
        <v>#REF!</v>
      </c>
      <c r="P44" s="28" t="e">
        <f>manip_pt_pc!#REF!+'manip_pt_b+c'!#REF!+'manip_pt_t+m'!#REF!+manip_pt_rail!#REF!+manip_pt_air_dom!#REF!</f>
        <v>#REF!</v>
      </c>
      <c r="Q44" s="28" t="e">
        <f>manip_pt_pc!#REF!+'manip_pt_b+c'!#REF!+'manip_pt_t+m'!#REF!+manip_pt_rail!#REF!+manip_pt_air_dom!#REF!</f>
        <v>#REF!</v>
      </c>
      <c r="S44" s="53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K44" s="53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U44" s="53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</row>
    <row r="45" spans="1:89" ht="11.25" customHeight="1" hidden="1" outlineLevel="1">
      <c r="A45" s="53">
        <v>1985</v>
      </c>
      <c r="B45" s="28" t="e">
        <f>manip_pt_pc!#REF!+'manip_pt_b+c'!#REF!+'manip_pt_t+m'!#REF!+manip_pt_rail!#REF!+manip_pt_air_dom!#REF!</f>
        <v>#REF!</v>
      </c>
      <c r="C45" s="28" t="e">
        <f>manip_pt_pc!#REF!+'manip_pt_b+c'!#REF!+'manip_pt_t+m'!#REF!+manip_pt_rail!#REF!+manip_pt_air_dom!#REF!</f>
        <v>#REF!</v>
      </c>
      <c r="D45" s="28" t="e">
        <f>manip_pt_pc!#REF!+'manip_pt_b+c'!#REF!+'manip_pt_t+m'!#REF!+manip_pt_rail!#REF!+manip_pt_air_dom!#REF!</f>
        <v>#REF!</v>
      </c>
      <c r="E45" s="28" t="e">
        <f>manip_pt_pc!#REF!+'manip_pt_b+c'!#REF!+'manip_pt_t+m'!#REF!+manip_pt_rail!#REF!+manip_pt_air_dom!#REF!</f>
        <v>#REF!</v>
      </c>
      <c r="F45" s="28" t="e">
        <f>manip_pt_pc!#REF!+'manip_pt_b+c'!#REF!+'manip_pt_t+m'!#REF!+manip_pt_rail!#REF!+manip_pt_air_dom!#REF!</f>
        <v>#REF!</v>
      </c>
      <c r="G45" s="28" t="e">
        <f>manip_pt_pc!#REF!+'manip_pt_b+c'!#REF!+'manip_pt_t+m'!#REF!+manip_pt_rail!#REF!+manip_pt_air_dom!#REF!</f>
        <v>#REF!</v>
      </c>
      <c r="H45" s="28" t="e">
        <f>manip_pt_pc!#REF!+'manip_pt_b+c'!#REF!+'manip_pt_t+m'!#REF!+manip_pt_rail!#REF!+manip_pt_air_dom!#REF!</f>
        <v>#REF!</v>
      </c>
      <c r="I45" s="28" t="e">
        <f>manip_pt_pc!#REF!+'manip_pt_b+c'!#REF!+'manip_pt_t+m'!#REF!+manip_pt_rail!#REF!+manip_pt_air_dom!#REF!</f>
        <v>#REF!</v>
      </c>
      <c r="J45" s="28" t="e">
        <f>manip_pt_pc!#REF!+'manip_pt_b+c'!#REF!+'manip_pt_t+m'!#REF!+manip_pt_rail!#REF!+manip_pt_air_dom!#REF!</f>
        <v>#REF!</v>
      </c>
      <c r="K45" s="28" t="e">
        <f>manip_pt_pc!#REF!+'manip_pt_b+c'!#REF!+'manip_pt_t+m'!#REF!+manip_pt_rail!#REF!+manip_pt_air_dom!#REF!</f>
        <v>#REF!</v>
      </c>
      <c r="L45" s="28" t="e">
        <f>manip_pt_pc!#REF!+'manip_pt_b+c'!#REF!+'manip_pt_t+m'!#REF!+manip_pt_rail!#REF!+manip_pt_air_dom!#REF!</f>
        <v>#REF!</v>
      </c>
      <c r="M45" s="28" t="e">
        <f>manip_pt_pc!#REF!+'manip_pt_b+c'!#REF!+'manip_pt_t+m'!#REF!+manip_pt_rail!#REF!+manip_pt_air_dom!#REF!</f>
        <v>#REF!</v>
      </c>
      <c r="N45" s="28" t="e">
        <f>manip_pt_pc!#REF!+'manip_pt_b+c'!#REF!+'manip_pt_t+m'!#REF!+manip_pt_rail!#REF!+manip_pt_air_dom!#REF!</f>
        <v>#REF!</v>
      </c>
      <c r="O45" s="28" t="e">
        <f>manip_pt_pc!#REF!+'manip_pt_b+c'!#REF!+'manip_pt_t+m'!#REF!+manip_pt_rail!#REF!+manip_pt_air_dom!#REF!</f>
        <v>#REF!</v>
      </c>
      <c r="P45" s="28" t="e">
        <f>manip_pt_pc!#REF!+'manip_pt_b+c'!#REF!+'manip_pt_t+m'!#REF!+manip_pt_rail!#REF!+manip_pt_air_dom!#REF!</f>
        <v>#REF!</v>
      </c>
      <c r="Q45" s="28" t="e">
        <f>manip_pt_pc!#REF!+'manip_pt_b+c'!#REF!+'manip_pt_t+m'!#REF!+manip_pt_rail!#REF!+manip_pt_air_dom!#REF!</f>
        <v>#REF!</v>
      </c>
      <c r="S45" s="53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K45" s="53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U45" s="53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</row>
    <row r="46" spans="1:89" ht="11.25" customHeight="1" hidden="1" outlineLevel="1" collapsed="1">
      <c r="A46" s="53">
        <v>1986</v>
      </c>
      <c r="B46" s="28" t="e">
        <f>manip_pt_pc!#REF!+'manip_pt_b+c'!#REF!+'manip_pt_t+m'!#REF!+manip_pt_rail!#REF!+manip_pt_air_dom!#REF!</f>
        <v>#REF!</v>
      </c>
      <c r="C46" s="28" t="e">
        <f>manip_pt_pc!#REF!+'manip_pt_b+c'!#REF!+'manip_pt_t+m'!#REF!+manip_pt_rail!#REF!+manip_pt_air_dom!#REF!</f>
        <v>#REF!</v>
      </c>
      <c r="D46" s="28" t="e">
        <f>manip_pt_pc!#REF!+'manip_pt_b+c'!#REF!+'manip_pt_t+m'!#REF!+manip_pt_rail!#REF!+manip_pt_air_dom!#REF!</f>
        <v>#REF!</v>
      </c>
      <c r="E46" s="28" t="e">
        <f>manip_pt_pc!#REF!+'manip_pt_b+c'!#REF!+'manip_pt_t+m'!#REF!+manip_pt_rail!#REF!+manip_pt_air_dom!#REF!</f>
        <v>#REF!</v>
      </c>
      <c r="F46" s="28" t="e">
        <f>manip_pt_pc!#REF!+'manip_pt_b+c'!#REF!+'manip_pt_t+m'!#REF!+manip_pt_rail!#REF!+manip_pt_air_dom!#REF!</f>
        <v>#REF!</v>
      </c>
      <c r="G46" s="28" t="e">
        <f>manip_pt_pc!#REF!+'manip_pt_b+c'!#REF!+'manip_pt_t+m'!#REF!+manip_pt_rail!#REF!+manip_pt_air_dom!#REF!</f>
        <v>#REF!</v>
      </c>
      <c r="H46" s="28" t="e">
        <f>manip_pt_pc!#REF!+'manip_pt_b+c'!#REF!+'manip_pt_t+m'!#REF!+manip_pt_rail!#REF!+manip_pt_air_dom!#REF!</f>
        <v>#REF!</v>
      </c>
      <c r="I46" s="28" t="e">
        <f>manip_pt_pc!#REF!+'manip_pt_b+c'!#REF!+'manip_pt_t+m'!#REF!+manip_pt_rail!#REF!+manip_pt_air_dom!#REF!</f>
        <v>#REF!</v>
      </c>
      <c r="J46" s="28" t="e">
        <f>manip_pt_pc!#REF!+'manip_pt_b+c'!#REF!+'manip_pt_t+m'!#REF!+manip_pt_rail!#REF!+manip_pt_air_dom!#REF!</f>
        <v>#REF!</v>
      </c>
      <c r="K46" s="28" t="e">
        <f>manip_pt_pc!#REF!+'manip_pt_b+c'!#REF!+'manip_pt_t+m'!#REF!+manip_pt_rail!#REF!+manip_pt_air_dom!#REF!</f>
        <v>#REF!</v>
      </c>
      <c r="L46" s="28" t="e">
        <f>manip_pt_pc!#REF!+'manip_pt_b+c'!#REF!+'manip_pt_t+m'!#REF!+manip_pt_rail!#REF!+manip_pt_air_dom!#REF!</f>
        <v>#REF!</v>
      </c>
      <c r="M46" s="28" t="e">
        <f>manip_pt_pc!#REF!+'manip_pt_b+c'!#REF!+'manip_pt_t+m'!#REF!+manip_pt_rail!#REF!+manip_pt_air_dom!#REF!</f>
        <v>#REF!</v>
      </c>
      <c r="N46" s="28" t="e">
        <f>manip_pt_pc!#REF!+'manip_pt_b+c'!#REF!+'manip_pt_t+m'!#REF!+manip_pt_rail!#REF!+manip_pt_air_dom!#REF!</f>
        <v>#REF!</v>
      </c>
      <c r="O46" s="28" t="e">
        <f>manip_pt_pc!#REF!+'manip_pt_b+c'!#REF!+'manip_pt_t+m'!#REF!+manip_pt_rail!#REF!+manip_pt_air_dom!#REF!</f>
        <v>#REF!</v>
      </c>
      <c r="P46" s="28" t="e">
        <f>manip_pt_pc!#REF!+'manip_pt_b+c'!#REF!+'manip_pt_t+m'!#REF!+manip_pt_rail!#REF!+manip_pt_air_dom!#REF!</f>
        <v>#REF!</v>
      </c>
      <c r="Q46" s="28" t="e">
        <f>manip_pt_pc!#REF!+'manip_pt_b+c'!#REF!+'manip_pt_t+m'!#REF!+manip_pt_rail!#REF!+manip_pt_air_dom!#REF!</f>
        <v>#REF!</v>
      </c>
      <c r="S46" s="53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K46" s="53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U46" s="53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</row>
    <row r="47" spans="1:89" ht="11.25" customHeight="1" hidden="1" outlineLevel="1">
      <c r="A47" s="53">
        <v>1987</v>
      </c>
      <c r="B47" s="28" t="e">
        <f>manip_pt_pc!#REF!+'manip_pt_b+c'!#REF!+'manip_pt_t+m'!#REF!+manip_pt_rail!#REF!+manip_pt_air_dom!#REF!</f>
        <v>#REF!</v>
      </c>
      <c r="C47" s="28" t="e">
        <f>manip_pt_pc!#REF!+'manip_pt_b+c'!#REF!+'manip_pt_t+m'!#REF!+manip_pt_rail!#REF!+manip_pt_air_dom!#REF!</f>
        <v>#REF!</v>
      </c>
      <c r="D47" s="28" t="e">
        <f>manip_pt_pc!#REF!+'manip_pt_b+c'!#REF!+'manip_pt_t+m'!#REF!+manip_pt_rail!#REF!+manip_pt_air_dom!#REF!</f>
        <v>#REF!</v>
      </c>
      <c r="E47" s="28" t="e">
        <f>manip_pt_pc!#REF!+'manip_pt_b+c'!#REF!+'manip_pt_t+m'!#REF!+manip_pt_rail!#REF!+manip_pt_air_dom!#REF!</f>
        <v>#REF!</v>
      </c>
      <c r="F47" s="28" t="e">
        <f>manip_pt_pc!#REF!+'manip_pt_b+c'!#REF!+'manip_pt_t+m'!#REF!+manip_pt_rail!#REF!+manip_pt_air_dom!#REF!</f>
        <v>#REF!</v>
      </c>
      <c r="G47" s="28" t="e">
        <f>manip_pt_pc!#REF!+'manip_pt_b+c'!#REF!+'manip_pt_t+m'!#REF!+manip_pt_rail!#REF!+manip_pt_air_dom!#REF!</f>
        <v>#REF!</v>
      </c>
      <c r="H47" s="28" t="e">
        <f>manip_pt_pc!#REF!+'manip_pt_b+c'!#REF!+'manip_pt_t+m'!#REF!+manip_pt_rail!#REF!+manip_pt_air_dom!#REF!</f>
        <v>#REF!</v>
      </c>
      <c r="I47" s="28" t="e">
        <f>manip_pt_pc!#REF!+'manip_pt_b+c'!#REF!+'manip_pt_t+m'!#REF!+manip_pt_rail!#REF!+manip_pt_air_dom!#REF!</f>
        <v>#REF!</v>
      </c>
      <c r="J47" s="28" t="e">
        <f>manip_pt_pc!#REF!+'manip_pt_b+c'!#REF!+'manip_pt_t+m'!#REF!+manip_pt_rail!#REF!+manip_pt_air_dom!#REF!</f>
        <v>#REF!</v>
      </c>
      <c r="K47" s="28" t="e">
        <f>manip_pt_pc!#REF!+'manip_pt_b+c'!#REF!+'manip_pt_t+m'!#REF!+manip_pt_rail!#REF!+manip_pt_air_dom!#REF!</f>
        <v>#REF!</v>
      </c>
      <c r="L47" s="28" t="e">
        <f>manip_pt_pc!#REF!+'manip_pt_b+c'!#REF!+'manip_pt_t+m'!#REF!+manip_pt_rail!#REF!+manip_pt_air_dom!#REF!</f>
        <v>#REF!</v>
      </c>
      <c r="M47" s="28" t="e">
        <f>manip_pt_pc!#REF!+'manip_pt_b+c'!#REF!+'manip_pt_t+m'!#REF!+manip_pt_rail!#REF!+manip_pt_air_dom!#REF!</f>
        <v>#REF!</v>
      </c>
      <c r="N47" s="28" t="e">
        <f>manip_pt_pc!#REF!+'manip_pt_b+c'!#REF!+'manip_pt_t+m'!#REF!+manip_pt_rail!#REF!+manip_pt_air_dom!#REF!</f>
        <v>#REF!</v>
      </c>
      <c r="O47" s="28" t="e">
        <f>manip_pt_pc!#REF!+'manip_pt_b+c'!#REF!+'manip_pt_t+m'!#REF!+manip_pt_rail!#REF!+manip_pt_air_dom!#REF!</f>
        <v>#REF!</v>
      </c>
      <c r="P47" s="28" t="e">
        <f>manip_pt_pc!#REF!+'manip_pt_b+c'!#REF!+'manip_pt_t+m'!#REF!+manip_pt_rail!#REF!+manip_pt_air_dom!#REF!</f>
        <v>#REF!</v>
      </c>
      <c r="Q47" s="28" t="e">
        <f>manip_pt_pc!#REF!+'manip_pt_b+c'!#REF!+'manip_pt_t+m'!#REF!+manip_pt_rail!#REF!+manip_pt_air_dom!#REF!</f>
        <v>#REF!</v>
      </c>
      <c r="S47" s="53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K47" s="53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U47" s="53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</row>
    <row r="48" spans="1:89" ht="11.25" customHeight="1" hidden="1" outlineLevel="1">
      <c r="A48" s="53">
        <v>1988</v>
      </c>
      <c r="B48" s="28" t="e">
        <f>manip_pt_pc!#REF!+'manip_pt_b+c'!#REF!+'manip_pt_t+m'!#REF!+manip_pt_rail!#REF!+manip_pt_air_dom!#REF!</f>
        <v>#REF!</v>
      </c>
      <c r="C48" s="28" t="e">
        <f>manip_pt_pc!#REF!+'manip_pt_b+c'!#REF!+'manip_pt_t+m'!#REF!+manip_pt_rail!#REF!+manip_pt_air_dom!#REF!</f>
        <v>#REF!</v>
      </c>
      <c r="D48" s="28" t="e">
        <f>manip_pt_pc!#REF!+'manip_pt_b+c'!#REF!+'manip_pt_t+m'!#REF!+manip_pt_rail!#REF!+manip_pt_air_dom!#REF!</f>
        <v>#REF!</v>
      </c>
      <c r="E48" s="28" t="e">
        <f>manip_pt_pc!#REF!+'manip_pt_b+c'!#REF!+'manip_pt_t+m'!#REF!+manip_pt_rail!#REF!+manip_pt_air_dom!#REF!</f>
        <v>#REF!</v>
      </c>
      <c r="F48" s="28" t="e">
        <f>manip_pt_pc!#REF!+'manip_pt_b+c'!#REF!+'manip_pt_t+m'!#REF!+manip_pt_rail!#REF!+manip_pt_air_dom!#REF!</f>
        <v>#REF!</v>
      </c>
      <c r="G48" s="28" t="e">
        <f>manip_pt_pc!#REF!+'manip_pt_b+c'!#REF!+'manip_pt_t+m'!#REF!+manip_pt_rail!#REF!+manip_pt_air_dom!#REF!</f>
        <v>#REF!</v>
      </c>
      <c r="H48" s="28" t="e">
        <f>manip_pt_pc!#REF!+'manip_pt_b+c'!#REF!+'manip_pt_t+m'!#REF!+manip_pt_rail!#REF!+manip_pt_air_dom!#REF!</f>
        <v>#REF!</v>
      </c>
      <c r="I48" s="28" t="e">
        <f>manip_pt_pc!#REF!+'manip_pt_b+c'!#REF!+'manip_pt_t+m'!#REF!+manip_pt_rail!#REF!+manip_pt_air_dom!#REF!</f>
        <v>#REF!</v>
      </c>
      <c r="J48" s="28" t="e">
        <f>manip_pt_pc!#REF!+'manip_pt_b+c'!#REF!+'manip_pt_t+m'!#REF!+manip_pt_rail!#REF!+manip_pt_air_dom!#REF!</f>
        <v>#REF!</v>
      </c>
      <c r="K48" s="28" t="e">
        <f>manip_pt_pc!#REF!+'manip_pt_b+c'!#REF!+'manip_pt_t+m'!#REF!+manip_pt_rail!#REF!+manip_pt_air_dom!#REF!</f>
        <v>#REF!</v>
      </c>
      <c r="L48" s="28" t="e">
        <f>manip_pt_pc!#REF!+'manip_pt_b+c'!#REF!+'manip_pt_t+m'!#REF!+manip_pt_rail!#REF!+manip_pt_air_dom!#REF!</f>
        <v>#REF!</v>
      </c>
      <c r="M48" s="28" t="e">
        <f>manip_pt_pc!#REF!+'manip_pt_b+c'!#REF!+'manip_pt_t+m'!#REF!+manip_pt_rail!#REF!+manip_pt_air_dom!#REF!</f>
        <v>#REF!</v>
      </c>
      <c r="N48" s="28" t="e">
        <f>manip_pt_pc!#REF!+'manip_pt_b+c'!#REF!+'manip_pt_t+m'!#REF!+manip_pt_rail!#REF!+manip_pt_air_dom!#REF!</f>
        <v>#REF!</v>
      </c>
      <c r="O48" s="28" t="e">
        <f>manip_pt_pc!#REF!+'manip_pt_b+c'!#REF!+'manip_pt_t+m'!#REF!+manip_pt_rail!#REF!+manip_pt_air_dom!#REF!</f>
        <v>#REF!</v>
      </c>
      <c r="P48" s="28" t="e">
        <f>manip_pt_pc!#REF!+'manip_pt_b+c'!#REF!+'manip_pt_t+m'!#REF!+manip_pt_rail!#REF!+manip_pt_air_dom!#REF!</f>
        <v>#REF!</v>
      </c>
      <c r="Q48" s="28" t="e">
        <f>manip_pt_pc!#REF!+'manip_pt_b+c'!#REF!+'manip_pt_t+m'!#REF!+manip_pt_rail!#REF!+manip_pt_air_dom!#REF!</f>
        <v>#REF!</v>
      </c>
      <c r="S48" s="53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K48" s="53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U48" s="53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</row>
    <row r="49" spans="1:89" ht="11.25" customHeight="1" hidden="1" outlineLevel="1">
      <c r="A49" s="53">
        <v>1989</v>
      </c>
      <c r="B49" s="28" t="e">
        <f>manip_pt_pc!#REF!+'manip_pt_b+c'!#REF!+'manip_pt_t+m'!#REF!+manip_pt_rail!#REF!+manip_pt_air_dom!#REF!</f>
        <v>#REF!</v>
      </c>
      <c r="C49" s="28" t="e">
        <f>manip_pt_pc!#REF!+'manip_pt_b+c'!#REF!+'manip_pt_t+m'!#REF!+manip_pt_rail!#REF!+manip_pt_air_dom!#REF!</f>
        <v>#REF!</v>
      </c>
      <c r="D49" s="28" t="e">
        <f>manip_pt_pc!#REF!+'manip_pt_b+c'!#REF!+'manip_pt_t+m'!#REF!+manip_pt_rail!#REF!+manip_pt_air_dom!#REF!</f>
        <v>#REF!</v>
      </c>
      <c r="E49" s="28" t="e">
        <f>manip_pt_pc!#REF!+'manip_pt_b+c'!#REF!+'manip_pt_t+m'!#REF!+manip_pt_rail!#REF!+manip_pt_air_dom!#REF!</f>
        <v>#REF!</v>
      </c>
      <c r="F49" s="28" t="e">
        <f>manip_pt_pc!#REF!+'manip_pt_b+c'!#REF!+'manip_pt_t+m'!#REF!+manip_pt_rail!#REF!+manip_pt_air_dom!#REF!</f>
        <v>#REF!</v>
      </c>
      <c r="G49" s="28" t="e">
        <f>manip_pt_pc!#REF!+'manip_pt_b+c'!#REF!+'manip_pt_t+m'!#REF!+manip_pt_rail!#REF!+manip_pt_air_dom!#REF!</f>
        <v>#REF!</v>
      </c>
      <c r="H49" s="28" t="e">
        <f>manip_pt_pc!#REF!+'manip_pt_b+c'!#REF!+'manip_pt_t+m'!#REF!+manip_pt_rail!#REF!+manip_pt_air_dom!#REF!</f>
        <v>#REF!</v>
      </c>
      <c r="I49" s="28" t="e">
        <f>manip_pt_pc!#REF!+'manip_pt_b+c'!#REF!+'manip_pt_t+m'!#REF!+manip_pt_rail!#REF!+manip_pt_air_dom!#REF!</f>
        <v>#REF!</v>
      </c>
      <c r="J49" s="28" t="e">
        <f>manip_pt_pc!#REF!+'manip_pt_b+c'!#REF!+'manip_pt_t+m'!#REF!+manip_pt_rail!#REF!+manip_pt_air_dom!#REF!</f>
        <v>#REF!</v>
      </c>
      <c r="K49" s="28" t="e">
        <f>manip_pt_pc!#REF!+'manip_pt_b+c'!#REF!+'manip_pt_t+m'!#REF!+manip_pt_rail!#REF!+manip_pt_air_dom!#REF!</f>
        <v>#REF!</v>
      </c>
      <c r="L49" s="28" t="e">
        <f>manip_pt_pc!#REF!+'manip_pt_b+c'!#REF!+'manip_pt_t+m'!#REF!+manip_pt_rail!#REF!+manip_pt_air_dom!#REF!</f>
        <v>#REF!</v>
      </c>
      <c r="M49" s="28" t="e">
        <f>manip_pt_pc!#REF!+'manip_pt_b+c'!#REF!+'manip_pt_t+m'!#REF!+manip_pt_rail!#REF!+manip_pt_air_dom!#REF!</f>
        <v>#REF!</v>
      </c>
      <c r="N49" s="28" t="e">
        <f>manip_pt_pc!#REF!+'manip_pt_b+c'!#REF!+'manip_pt_t+m'!#REF!+manip_pt_rail!#REF!+manip_pt_air_dom!#REF!</f>
        <v>#REF!</v>
      </c>
      <c r="O49" s="28" t="e">
        <f>manip_pt_pc!#REF!+'manip_pt_b+c'!#REF!+'manip_pt_t+m'!#REF!+manip_pt_rail!#REF!+manip_pt_air_dom!#REF!</f>
        <v>#REF!</v>
      </c>
      <c r="P49" s="28" t="e">
        <f>manip_pt_pc!#REF!+'manip_pt_b+c'!#REF!+'manip_pt_t+m'!#REF!+manip_pt_rail!#REF!+manip_pt_air_dom!#REF!</f>
        <v>#REF!</v>
      </c>
      <c r="Q49" s="28" t="e">
        <f>manip_pt_pc!#REF!+'manip_pt_b+c'!#REF!+'manip_pt_t+m'!#REF!+manip_pt_rail!#REF!+manip_pt_air_dom!#REF!</f>
        <v>#REF!</v>
      </c>
      <c r="S49" s="53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K49" s="53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U49" s="53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</row>
    <row r="50" spans="1:89" ht="11.25" collapsed="1">
      <c r="A50" s="53">
        <v>1990</v>
      </c>
      <c r="B50" s="28" t="e">
        <f>manip_pt_pc!#REF!+'manip_pt_b+c'!#REF!+'manip_pt_t+m'!B5+manip_pt_rail!#REF!+manip_pt_air_dom!#REF!</f>
        <v>#REF!</v>
      </c>
      <c r="C50" s="28" t="e">
        <f>manip_pt_pc!#REF!+'manip_pt_b+c'!#REF!+'manip_pt_t+m'!C5+manip_pt_rail!#REF!+manip_pt_air_dom!#REF!</f>
        <v>#REF!</v>
      </c>
      <c r="D50" s="28" t="e">
        <f>manip_pt_pc!#REF!+'manip_pt_b+c'!#REF!+'manip_pt_t+m'!D5+manip_pt_rail!#REF!+manip_pt_air_dom!#REF!</f>
        <v>#REF!</v>
      </c>
      <c r="E50" s="28" t="e">
        <f>manip_pt_pc!#REF!+'manip_pt_b+c'!#REF!+'manip_pt_t+m'!E5+manip_pt_rail!#REF!+manip_pt_air_dom!#REF!</f>
        <v>#REF!</v>
      </c>
      <c r="F50" s="28" t="e">
        <f>manip_pt_pc!#REF!+'manip_pt_b+c'!#REF!+'manip_pt_t+m'!F5+manip_pt_rail!#REF!+manip_pt_air_dom!#REF!</f>
        <v>#REF!</v>
      </c>
      <c r="G50" s="28" t="e">
        <f>manip_pt_pc!#REF!+'manip_pt_b+c'!#REF!+'manip_pt_t+m'!G5+manip_pt_rail!#REF!+manip_pt_air_dom!#REF!</f>
        <v>#REF!</v>
      </c>
      <c r="H50" s="28" t="e">
        <f>manip_pt_pc!#REF!+'manip_pt_b+c'!#REF!+'manip_pt_t+m'!H5+manip_pt_rail!#REF!+manip_pt_air_dom!#REF!</f>
        <v>#REF!</v>
      </c>
      <c r="I50" s="28" t="e">
        <f>manip_pt_pc!#REF!+'manip_pt_b+c'!#REF!+'manip_pt_t+m'!I5+manip_pt_rail!#REF!+manip_pt_air_dom!#REF!</f>
        <v>#REF!</v>
      </c>
      <c r="J50" s="28" t="e">
        <f>manip_pt_pc!#REF!+'manip_pt_b+c'!#REF!+'manip_pt_t+m'!J5+manip_pt_rail!#REF!+manip_pt_air_dom!#REF!</f>
        <v>#REF!</v>
      </c>
      <c r="K50" s="28" t="e">
        <f>manip_pt_pc!#REF!+'manip_pt_b+c'!#REF!+'manip_pt_t+m'!K5+manip_pt_rail!#REF!+manip_pt_air_dom!#REF!</f>
        <v>#REF!</v>
      </c>
      <c r="L50" s="28" t="e">
        <f>manip_pt_pc!#REF!+'manip_pt_b+c'!#REF!+'manip_pt_t+m'!L5+manip_pt_rail!#REF!+manip_pt_air_dom!#REF!</f>
        <v>#REF!</v>
      </c>
      <c r="M50" s="28" t="e">
        <f>manip_pt_pc!#REF!+'manip_pt_b+c'!#REF!+'manip_pt_t+m'!M5+manip_pt_rail!#REF!+manip_pt_air_dom!#REF!</f>
        <v>#REF!</v>
      </c>
      <c r="N50" s="28" t="e">
        <f>manip_pt_pc!#REF!+'manip_pt_b+c'!#REF!+'manip_pt_t+m'!N5+manip_pt_rail!#REF!+manip_pt_air_dom!#REF!</f>
        <v>#REF!</v>
      </c>
      <c r="O50" s="28" t="e">
        <f>manip_pt_pc!#REF!+'manip_pt_b+c'!#REF!+'manip_pt_t+m'!O5+manip_pt_rail!#REF!+manip_pt_air_dom!#REF!</f>
        <v>#REF!</v>
      </c>
      <c r="P50" s="28" t="e">
        <f>manip_pt_pc!#REF!+'manip_pt_b+c'!#REF!+'manip_pt_t+m'!P5+manip_pt_rail!#REF!+manip_pt_air_dom!#REF!</f>
        <v>#REF!</v>
      </c>
      <c r="Q50" s="28" t="e">
        <f>manip_pt_pc!#REF!+'manip_pt_b+c'!#REF!+'manip_pt_t+m'!Q5+manip_pt_rail!#REF!+manip_pt_air_dom!#REF!</f>
        <v>#REF!</v>
      </c>
      <c r="S50" s="53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K50" s="53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U50" s="53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</row>
    <row r="51" spans="1:89" ht="11.25">
      <c r="A51" s="53">
        <v>1991</v>
      </c>
      <c r="B51" s="28">
        <f>manip_pt_pc!B5+'manip_pt_b+c'!B5+manip_pt_rail!B5+manip_pt_air_dom!B5</f>
        <v>3806.251012605126</v>
      </c>
      <c r="C51" s="28">
        <f>manip_pt_pc!C5+'manip_pt_b+c'!C5+manip_pt_rail!C5+manip_pt_air_dom!C5</f>
        <v>100.87100000000001</v>
      </c>
      <c r="D51" s="28">
        <f>manip_pt_pc!D5+'manip_pt_b+c'!D5+manip_pt_rail!D5+manip_pt_air_dom!D5</f>
        <v>63.035840285714286</v>
      </c>
      <c r="E51" s="28">
        <f>manip_pt_pc!E5+'manip_pt_b+c'!E5+manip_pt_rail!E5+manip_pt_air_dom!E5</f>
        <v>842.628511</v>
      </c>
      <c r="F51" s="28">
        <f>manip_pt_pc!F5+'manip_pt_b+c'!F5+manip_pt_rail!F5+manip_pt_air_dom!F5</f>
        <v>27.661722</v>
      </c>
      <c r="G51" s="28">
        <f>manip_pt_pc!G5+'manip_pt_b+c'!G5+manip_pt_rail!G5+manip_pt_air_dom!G5</f>
        <v>238.22311</v>
      </c>
      <c r="H51" s="28">
        <f>manip_pt_pc!H5+'manip_pt_b+c'!H5+manip_pt_rail!H5+manip_pt_air_dom!H5</f>
        <v>712.687356</v>
      </c>
      <c r="I51" s="28">
        <f>manip_pt_pc!I5+'manip_pt_b+c'!I5+manip_pt_rail!I5+manip_pt_air_dom!I5</f>
        <v>24.651380999999997</v>
      </c>
      <c r="J51" s="28">
        <f>manip_pt_pc!J5+'manip_pt_b+c'!J5+manip_pt_rail!J5+manip_pt_air_dom!J5</f>
        <v>670.531152</v>
      </c>
      <c r="K51" s="28">
        <f>manip_pt_pc!K5+'manip_pt_b+c'!K5+manip_pt_rail!K5+manip_pt_air_dom!K5</f>
        <v>4.8221920096553434</v>
      </c>
      <c r="L51" s="28">
        <f>manip_pt_pc!L5+'manip_pt_b+c'!L5+manip_pt_rail!L5+manip_pt_air_dom!L5</f>
        <v>147.89709</v>
      </c>
      <c r="M51" s="28">
        <f>manip_pt_pc!M5+'manip_pt_b+c'!M5+manip_pt_rail!M5+manip_pt_air_dom!M5</f>
        <v>88.780062</v>
      </c>
      <c r="N51" s="28">
        <f>manip_pt_pc!N5+'manip_pt_b+c'!N5+manip_pt_rail!N5+manip_pt_air_dom!N5</f>
        <v>60.416894000000006</v>
      </c>
      <c r="O51" s="28">
        <f>manip_pt_pc!O5+'manip_pt_b+c'!O5+manip_pt_rail!O5+manip_pt_air_dom!O5</f>
        <v>58.464316</v>
      </c>
      <c r="P51" s="28">
        <f>manip_pt_pc!P5+'manip_pt_b+c'!P5+manip_pt_rail!P5+manip_pt_air_dom!P5</f>
        <v>102.09953230975606</v>
      </c>
      <c r="Q51" s="28">
        <f>manip_pt_pc!Q5+'manip_pt_b+c'!Q5+manip_pt_rail!Q5+manip_pt_air_dom!Q5</f>
        <v>663.4808540000001</v>
      </c>
      <c r="S51" s="53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K51" s="53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U51" s="53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</row>
    <row r="52" spans="1:89" ht="11.25">
      <c r="A52" s="53">
        <v>1992</v>
      </c>
      <c r="B52" s="28">
        <f>manip_pt_pc!B6+'manip_pt_b+c'!B6+manip_pt_rail!B6+manip_pt_air_dom!B6</f>
        <v>3929.2186247806876</v>
      </c>
      <c r="C52" s="28">
        <f>manip_pt_pc!C6+'manip_pt_b+c'!C6+manip_pt_rail!C6+manip_pt_air_dom!C6</f>
        <v>102.958</v>
      </c>
      <c r="D52" s="28">
        <f>manip_pt_pc!D6+'manip_pt_b+c'!D6+manip_pt_rail!D6+manip_pt_air_dom!D6</f>
        <v>64.005432</v>
      </c>
      <c r="E52" s="28">
        <f>manip_pt_pc!E6+'manip_pt_b+c'!E6+manip_pt_rail!E6+manip_pt_air_dom!E6</f>
        <v>861.3534950000001</v>
      </c>
      <c r="F52" s="28">
        <f>manip_pt_pc!F6+'manip_pt_b+c'!F6+manip_pt_rail!F6+manip_pt_air_dom!F6</f>
        <v>28.411421</v>
      </c>
      <c r="G52" s="28">
        <f>manip_pt_pc!G6+'manip_pt_b+c'!G6+manip_pt_rail!G6+manip_pt_air_dom!G6</f>
        <v>251.676527</v>
      </c>
      <c r="H52" s="28">
        <f>manip_pt_pc!H6+'manip_pt_b+c'!H6+manip_pt_rail!H6+manip_pt_air_dom!H6</f>
        <v>728.345483</v>
      </c>
      <c r="I52" s="28">
        <f>manip_pt_pc!I6+'manip_pt_b+c'!I6+manip_pt_rail!I6+manip_pt_air_dom!I6</f>
        <v>25.38669</v>
      </c>
      <c r="J52" s="28">
        <f>manip_pt_pc!J6+'manip_pt_b+c'!J6+manip_pt_rail!J6+manip_pt_air_dom!J6</f>
        <v>721.657112</v>
      </c>
      <c r="K52" s="28">
        <f>manip_pt_pc!K6+'manip_pt_b+c'!K6+manip_pt_rail!K6+manip_pt_air_dom!K6</f>
        <v>4.951919067930272</v>
      </c>
      <c r="L52" s="28">
        <f>manip_pt_pc!L6+'manip_pt_b+c'!L6+manip_pt_rail!L6+manip_pt_air_dom!L6</f>
        <v>152.88</v>
      </c>
      <c r="M52" s="28">
        <f>manip_pt_pc!M6+'manip_pt_b+c'!M6+manip_pt_rail!M6+manip_pt_air_dom!M6</f>
        <v>88.431094</v>
      </c>
      <c r="N52" s="28">
        <f>manip_pt_pc!N6+'manip_pt_b+c'!N6+manip_pt_rail!N6+manip_pt_air_dom!N6</f>
        <v>69.14588</v>
      </c>
      <c r="O52" s="28">
        <f>manip_pt_pc!O6+'manip_pt_b+c'!O6+manip_pt_rail!O6+manip_pt_air_dom!O6</f>
        <v>62.14805</v>
      </c>
      <c r="P52" s="28">
        <f>manip_pt_pc!P6+'manip_pt_b+c'!P6+manip_pt_rail!P6+manip_pt_air_dom!P6</f>
        <v>103.18693771275673</v>
      </c>
      <c r="Q52" s="28">
        <f>manip_pt_pc!Q6+'manip_pt_b+c'!Q6+manip_pt_rail!Q6+manip_pt_air_dom!Q6</f>
        <v>664.6805840000001</v>
      </c>
      <c r="S52" s="53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K52" s="53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U52" s="53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</row>
    <row r="53" spans="1:89" ht="11.25">
      <c r="A53" s="53">
        <v>1993</v>
      </c>
      <c r="B53" s="28">
        <f>manip_pt_pc!B7+'manip_pt_b+c'!B7+manip_pt_rail!B7+manip_pt_air_dom!B7</f>
        <v>3947.811833141329</v>
      </c>
      <c r="C53" s="28">
        <f>manip_pt_pc!C7+'manip_pt_b+c'!C7+manip_pt_rail!C7+manip_pt_air_dom!C7</f>
        <v>105.194</v>
      </c>
      <c r="D53" s="28">
        <f>manip_pt_pc!D7+'manip_pt_b+c'!D7+manip_pt_rail!D7+manip_pt_air_dom!D7</f>
        <v>64.44585028571429</v>
      </c>
      <c r="E53" s="28">
        <f>manip_pt_pc!E7+'manip_pt_b+c'!E7+manip_pt_rail!E7+manip_pt_air_dom!E7</f>
        <v>872.055998</v>
      </c>
      <c r="F53" s="28">
        <f>manip_pt_pc!F7+'manip_pt_b+c'!F7+manip_pt_rail!F7+manip_pt_air_dom!F7</f>
        <v>29.475137999999998</v>
      </c>
      <c r="G53" s="28">
        <f>manip_pt_pc!G7+'manip_pt_b+c'!G7+manip_pt_rail!G7+manip_pt_air_dom!G7</f>
        <v>256.129876</v>
      </c>
      <c r="H53" s="28">
        <f>manip_pt_pc!H7+'manip_pt_b+c'!H7+manip_pt_rail!H7+manip_pt_air_dom!H7</f>
        <v>737.552203</v>
      </c>
      <c r="I53" s="28">
        <f>manip_pt_pc!I7+'manip_pt_b+c'!I7+manip_pt_rail!I7+manip_pt_air_dom!I7</f>
        <v>26.415898000000006</v>
      </c>
      <c r="J53" s="28">
        <f>manip_pt_pc!J7+'manip_pt_b+c'!J7+manip_pt_rail!J7+manip_pt_air_dom!J7</f>
        <v>713.931519</v>
      </c>
      <c r="K53" s="28">
        <f>manip_pt_pc!K7+'manip_pt_b+c'!K7+manip_pt_rail!K7+manip_pt_air_dom!K7</f>
        <v>5.162000000000001</v>
      </c>
      <c r="L53" s="28">
        <f>manip_pt_pc!L7+'manip_pt_b+c'!L7+manip_pt_rail!L7+manip_pt_air_dom!L7</f>
        <v>149.59087599999998</v>
      </c>
      <c r="M53" s="28">
        <f>manip_pt_pc!M7+'manip_pt_b+c'!M7+manip_pt_rail!M7+manip_pt_air_dom!M7</f>
        <v>87.80007499999999</v>
      </c>
      <c r="N53" s="28">
        <f>manip_pt_pc!N7+'manip_pt_b+c'!N7+manip_pt_rail!N7+manip_pt_air_dom!N7</f>
        <v>71.44397900000001</v>
      </c>
      <c r="O53" s="28">
        <f>manip_pt_pc!O7+'manip_pt_b+c'!O7+manip_pt_rail!O7+manip_pt_air_dom!O7</f>
        <v>61.312025</v>
      </c>
      <c r="P53" s="28">
        <f>manip_pt_pc!P7+'manip_pt_b+c'!P7+manip_pt_rail!P7+manip_pt_air_dom!P7</f>
        <v>102.47575485561441</v>
      </c>
      <c r="Q53" s="28">
        <f>manip_pt_pc!Q7+'manip_pt_b+c'!Q7+manip_pt_rail!Q7+manip_pt_air_dom!Q7</f>
        <v>664.8266410000001</v>
      </c>
      <c r="S53" s="53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K53" s="53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U53" s="53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</row>
    <row r="54" spans="1:89" ht="11.25">
      <c r="A54" s="53">
        <v>1994</v>
      </c>
      <c r="B54" s="28">
        <f>manip_pt_pc!B8+'manip_pt_b+c'!B8+manip_pt_rail!B8+manip_pt_air_dom!B8</f>
        <v>4002.2707304790056</v>
      </c>
      <c r="C54" s="28">
        <f>manip_pt_pc!C8+'manip_pt_b+c'!C8+manip_pt_rail!C8+manip_pt_air_dom!C8</f>
        <v>108.138</v>
      </c>
      <c r="D54" s="28">
        <f>manip_pt_pc!D8+'manip_pt_b+c'!D8+manip_pt_rail!D8+manip_pt_air_dom!D8</f>
        <v>65.29792314285716</v>
      </c>
      <c r="E54" s="28">
        <f>manip_pt_pc!E8+'manip_pt_b+c'!E8+manip_pt_rail!E8+manip_pt_air_dom!E8</f>
        <v>862.886556</v>
      </c>
      <c r="F54" s="28">
        <f>manip_pt_pc!F8+'manip_pt_b+c'!F8+manip_pt_rail!F8+manip_pt_air_dom!F8</f>
        <v>32.17772</v>
      </c>
      <c r="G54" s="28">
        <f>manip_pt_pc!G8+'manip_pt_b+c'!G8+manip_pt_rail!G8+manip_pt_air_dom!G8</f>
        <v>263.085428</v>
      </c>
      <c r="H54" s="28">
        <f>manip_pt_pc!H8+'manip_pt_b+c'!H8+manip_pt_rail!H8+manip_pt_air_dom!H8</f>
        <v>760.7968420000001</v>
      </c>
      <c r="I54" s="28">
        <f>manip_pt_pc!I8+'manip_pt_b+c'!I8+manip_pt_rail!I8+manip_pt_air_dom!I8</f>
        <v>28.117902</v>
      </c>
      <c r="J54" s="28">
        <f>manip_pt_pc!J8+'manip_pt_b+c'!J8+manip_pt_rail!J8+manip_pt_air_dom!J8</f>
        <v>725.823054</v>
      </c>
      <c r="K54" s="28">
        <f>manip_pt_pc!K8+'manip_pt_b+c'!K8+manip_pt_rail!K8+manip_pt_air_dom!K8</f>
        <v>5.289</v>
      </c>
      <c r="L54" s="28">
        <f>manip_pt_pc!L8+'manip_pt_b+c'!L8+manip_pt_rail!L8+manip_pt_air_dom!L8</f>
        <v>151.343242</v>
      </c>
      <c r="M54" s="28">
        <f>manip_pt_pc!M8+'manip_pt_b+c'!M8+manip_pt_rail!M8+manip_pt_air_dom!M8</f>
        <v>88.38506100000001</v>
      </c>
      <c r="N54" s="28">
        <f>manip_pt_pc!N8+'manip_pt_b+c'!N8+manip_pt_rail!N8+manip_pt_air_dom!N8</f>
        <v>75.43007000000001</v>
      </c>
      <c r="O54" s="28">
        <f>manip_pt_pc!O8+'manip_pt_b+c'!O8+manip_pt_rail!O8+manip_pt_air_dom!O8</f>
        <v>61.255691</v>
      </c>
      <c r="P54" s="28">
        <f>manip_pt_pc!P8+'manip_pt_b+c'!P8+manip_pt_rail!P8+manip_pt_air_dom!P8</f>
        <v>103.77022533614881</v>
      </c>
      <c r="Q54" s="28">
        <f>manip_pt_pc!Q8+'manip_pt_b+c'!Q8+manip_pt_rail!Q8+manip_pt_air_dom!Q8</f>
        <v>670.474016</v>
      </c>
      <c r="S54" s="53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K54" s="53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U54" s="53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</row>
    <row r="55" spans="1:89" ht="11.25">
      <c r="A55" s="53">
        <v>1995</v>
      </c>
      <c r="B55" s="28">
        <f>manip_pt_pc!B9+'manip_pt_b+c'!B9+manip_pt_rail!B9+manip_pt_air_dom!B9</f>
        <v>4065.385440776545</v>
      </c>
      <c r="C55" s="28">
        <f>manip_pt_pc!C9+'manip_pt_b+c'!C9+manip_pt_rail!C9+manip_pt_air_dom!C9</f>
        <v>117.297</v>
      </c>
      <c r="D55" s="28">
        <f>manip_pt_pc!D9+'manip_pt_b+c'!D9+manip_pt_rail!D9+manip_pt_air_dom!D9</f>
        <v>66.94063971428571</v>
      </c>
      <c r="E55" s="28">
        <f>manip_pt_pc!E9+'manip_pt_b+c'!E9+manip_pt_rail!E9+manip_pt_air_dom!E9</f>
        <v>887.0815049575475</v>
      </c>
      <c r="F55" s="28">
        <f>manip_pt_pc!F9+'manip_pt_b+c'!F9+manip_pt_rail!F9+manip_pt_air_dom!F9</f>
        <v>34.069649999999996</v>
      </c>
      <c r="G55" s="28">
        <f>manip_pt_pc!G9+'manip_pt_b+c'!G9+manip_pt_rail!G9+manip_pt_air_dom!G9</f>
        <v>270.43987200000004</v>
      </c>
      <c r="H55" s="28">
        <f>manip_pt_pc!H9+'manip_pt_b+c'!H9+manip_pt_rail!H9+manip_pt_air_dom!H9</f>
        <v>737.678818</v>
      </c>
      <c r="I55" s="28">
        <f>manip_pt_pc!I9+'manip_pt_b+c'!I9+manip_pt_rail!I9+manip_pt_air_dom!I9</f>
        <v>29.712865</v>
      </c>
      <c r="J55" s="28">
        <f>manip_pt_pc!J9+'manip_pt_b+c'!J9+manip_pt_rail!J9+manip_pt_air_dom!J9</f>
        <v>751.3177410000001</v>
      </c>
      <c r="K55" s="28">
        <f>manip_pt_pc!K9+'manip_pt_b+c'!K9+manip_pt_rail!K9+manip_pt_air_dom!K9</f>
        <v>5.8870000000000005</v>
      </c>
      <c r="L55" s="28">
        <f>manip_pt_pc!L9+'manip_pt_b+c'!L9+manip_pt_rail!L9+manip_pt_air_dom!L9</f>
        <v>153.381823</v>
      </c>
      <c r="M55" s="28">
        <f>manip_pt_pc!M9+'manip_pt_b+c'!M9+manip_pt_rail!M9+manip_pt_air_dom!M9</f>
        <v>88.401102</v>
      </c>
      <c r="N55" s="28">
        <f>manip_pt_pc!N9+'manip_pt_b+c'!N9+manip_pt_rail!N9+manip_pt_air_dom!N9</f>
        <v>78.598632</v>
      </c>
      <c r="O55" s="28">
        <f>manip_pt_pc!O9+'manip_pt_b+c'!O9+manip_pt_rail!O9+manip_pt_air_dom!O9</f>
        <v>61.865189</v>
      </c>
      <c r="P55" s="28">
        <f>manip_pt_pc!P9+'manip_pt_b+c'!P9+manip_pt_rail!P9+manip_pt_air_dom!P9</f>
        <v>105.71979010471199</v>
      </c>
      <c r="Q55" s="28">
        <f>manip_pt_pc!Q9+'manip_pt_b+c'!Q9+manip_pt_rail!Q9+manip_pt_air_dom!Q9</f>
        <v>676.993814</v>
      </c>
      <c r="S55" s="53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K55" s="53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U55" s="53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</row>
    <row r="56" spans="1:89" ht="11.25">
      <c r="A56" s="53">
        <v>1996</v>
      </c>
      <c r="B56" s="28">
        <f>manip_pt_pc!B10+'manip_pt_b+c'!B10+manip_pt_rail!B10+manip_pt_air_dom!B10</f>
        <v>4130.08673408798</v>
      </c>
      <c r="C56" s="28">
        <f>manip_pt_pc!C10+'manip_pt_b+c'!C10+manip_pt_rail!C10+manip_pt_air_dom!C10</f>
        <v>117.99799999999999</v>
      </c>
      <c r="D56" s="28">
        <f>manip_pt_pc!D10+'manip_pt_b+c'!D10+manip_pt_rail!D10+manip_pt_air_dom!D10</f>
        <v>68.834788</v>
      </c>
      <c r="E56" s="28">
        <f>manip_pt_pc!E10+'manip_pt_b+c'!E10+manip_pt_rail!E10+manip_pt_air_dom!E10</f>
        <v>888.4036349999999</v>
      </c>
      <c r="F56" s="28">
        <f>manip_pt_pc!F10+'manip_pt_b+c'!F10+manip_pt_rail!F10+manip_pt_air_dom!F10</f>
        <v>36.968456999999994</v>
      </c>
      <c r="G56" s="28">
        <f>manip_pt_pc!G10+'manip_pt_b+c'!G10+manip_pt_rail!G10+manip_pt_air_dom!G10</f>
        <v>277.530035</v>
      </c>
      <c r="H56" s="28">
        <f>manip_pt_pc!H10+'manip_pt_b+c'!H10+manip_pt_rail!H10+manip_pt_air_dom!H10</f>
        <v>751.7826230000001</v>
      </c>
      <c r="I56" s="28">
        <f>manip_pt_pc!I10+'manip_pt_b+c'!I10+manip_pt_rail!I10+manip_pt_air_dom!I10</f>
        <v>31.762988</v>
      </c>
      <c r="J56" s="28">
        <f>manip_pt_pc!J10+'manip_pt_b+c'!J10+manip_pt_rail!J10+manip_pt_air_dom!J10</f>
        <v>767.1785400000001</v>
      </c>
      <c r="K56" s="28">
        <f>manip_pt_pc!K10+'manip_pt_b+c'!K10+manip_pt_rail!K10+manip_pt_air_dom!K10</f>
        <v>5.984</v>
      </c>
      <c r="L56" s="28">
        <f>manip_pt_pc!L10+'manip_pt_b+c'!L10+manip_pt_rail!L10+manip_pt_air_dom!L10</f>
        <v>154.691</v>
      </c>
      <c r="M56" s="28">
        <f>manip_pt_pc!M10+'manip_pt_b+c'!M10+manip_pt_rail!M10+manip_pt_air_dom!M10</f>
        <v>88.02278900000002</v>
      </c>
      <c r="N56" s="28">
        <f>manip_pt_pc!N10+'manip_pt_b+c'!N10+manip_pt_rail!N10+manip_pt_air_dom!N10</f>
        <v>82.80092499999999</v>
      </c>
      <c r="O56" s="28">
        <f>manip_pt_pc!O10+'manip_pt_b+c'!O10+manip_pt_rail!O10+manip_pt_air_dom!O10</f>
        <v>62.478885999999996</v>
      </c>
      <c r="P56" s="28">
        <f>manip_pt_pc!P10+'manip_pt_b+c'!P10+manip_pt_rail!P10+manip_pt_air_dom!P10</f>
        <v>106.38554808798109</v>
      </c>
      <c r="Q56" s="28">
        <f>manip_pt_pc!Q10+'manip_pt_b+c'!Q10+manip_pt_rail!Q10+manip_pt_air_dom!Q10</f>
        <v>689.26452</v>
      </c>
      <c r="S56" s="53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K56" s="53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U56" s="53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</row>
    <row r="57" spans="1:89" ht="11.25">
      <c r="A57" s="53">
        <v>1997</v>
      </c>
      <c r="B57" s="28">
        <f>manip_pt_pc!B11+'manip_pt_b+c'!B11+manip_pt_rail!B11+manip_pt_air_dom!B11</f>
        <v>4207.674771701958</v>
      </c>
      <c r="C57" s="28">
        <f>manip_pt_pc!C11+'manip_pt_b+c'!C11+manip_pt_rail!C11+manip_pt_air_dom!C11</f>
        <v>119.54</v>
      </c>
      <c r="D57" s="28">
        <f>manip_pt_pc!D11+'manip_pt_b+c'!D11+manip_pt_rail!D11+manip_pt_air_dom!D11</f>
        <v>70.65406485714286</v>
      </c>
      <c r="E57" s="28">
        <f>manip_pt_pc!E11+'manip_pt_b+c'!E11+manip_pt_rail!E11+manip_pt_air_dom!E11</f>
        <v>890.3081710840686</v>
      </c>
      <c r="F57" s="28">
        <f>manip_pt_pc!F11+'manip_pt_b+c'!F11+manip_pt_rail!F11+manip_pt_air_dom!F11</f>
        <v>39.045319</v>
      </c>
      <c r="G57" s="28">
        <f>manip_pt_pc!G11+'manip_pt_b+c'!G11+manip_pt_rail!G11+manip_pt_air_dom!G11</f>
        <v>293.91991</v>
      </c>
      <c r="H57" s="28">
        <f>manip_pt_pc!H11+'manip_pt_b+c'!H11+manip_pt_rail!H11+manip_pt_air_dom!H11</f>
        <v>771.649786</v>
      </c>
      <c r="I57" s="28">
        <f>manip_pt_pc!I11+'manip_pt_b+c'!I11+manip_pt_rail!I11+manip_pt_air_dom!I11</f>
        <v>34.046163</v>
      </c>
      <c r="J57" s="28">
        <f>manip_pt_pc!J11+'manip_pt_b+c'!J11+manip_pt_rail!J11+manip_pt_air_dom!J11</f>
        <v>779.478198</v>
      </c>
      <c r="K57" s="28">
        <f>manip_pt_pc!K11+'manip_pt_b+c'!K11+manip_pt_rail!K11+manip_pt_air_dom!K11</f>
        <v>6.095000000000001</v>
      </c>
      <c r="L57" s="28">
        <f>manip_pt_pc!L11+'manip_pt_b+c'!L11+manip_pt_rail!L11+manip_pt_air_dom!L11</f>
        <v>158.7</v>
      </c>
      <c r="M57" s="28">
        <f>manip_pt_pc!M11+'manip_pt_b+c'!M11+manip_pt_rail!M11+manip_pt_air_dom!M11</f>
        <v>87.801915</v>
      </c>
      <c r="N57" s="28">
        <f>manip_pt_pc!N11+'manip_pt_b+c'!N11+manip_pt_rail!N11+manip_pt_air_dom!N11</f>
        <v>87.02461799999999</v>
      </c>
      <c r="O57" s="28">
        <f>manip_pt_pc!O11+'manip_pt_b+c'!O11+manip_pt_rail!O11+manip_pt_air_dom!O11</f>
        <v>64.375714</v>
      </c>
      <c r="P57" s="28">
        <f>manip_pt_pc!P11+'manip_pt_b+c'!P11+manip_pt_rail!P11+manip_pt_air_dom!P11</f>
        <v>107.20927676074714</v>
      </c>
      <c r="Q57" s="28">
        <f>manip_pt_pc!Q11+'manip_pt_b+c'!Q11+manip_pt_rail!Q11+manip_pt_air_dom!Q11</f>
        <v>697.826636</v>
      </c>
      <c r="S57" s="53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K57" s="53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U57" s="53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</row>
    <row r="58" spans="1:89" ht="11.25">
      <c r="A58" s="53">
        <v>1998</v>
      </c>
      <c r="B58" s="28">
        <f>manip_pt_pc!B12+'manip_pt_b+c'!B12+manip_pt_rail!B12+manip_pt_air_dom!B12</f>
        <v>4333.77073966647</v>
      </c>
      <c r="C58" s="28">
        <f>manip_pt_pc!C12+'manip_pt_b+c'!C12+manip_pt_rail!C12+manip_pt_air_dom!C12</f>
        <v>123.55699999999999</v>
      </c>
      <c r="D58" s="28">
        <f>manip_pt_pc!D12+'manip_pt_b+c'!D12+manip_pt_rail!D12+manip_pt_air_dom!D12</f>
        <v>71.88635685714286</v>
      </c>
      <c r="E58" s="28">
        <f>manip_pt_pc!E12+'manip_pt_b+c'!E12+manip_pt_rail!E12+manip_pt_air_dom!E12</f>
        <v>892.1185614453788</v>
      </c>
      <c r="F58" s="28">
        <f>manip_pt_pc!F12+'manip_pt_b+c'!F12+manip_pt_rail!F12+manip_pt_air_dom!F12</f>
        <v>40.635692</v>
      </c>
      <c r="G58" s="28">
        <f>manip_pt_pc!G12+'manip_pt_b+c'!G12+manip_pt_rail!G12+manip_pt_air_dom!G12</f>
        <v>347.061377</v>
      </c>
      <c r="H58" s="28">
        <f>manip_pt_pc!H12+'manip_pt_b+c'!H12+manip_pt_rail!H12+manip_pt_air_dom!H12</f>
        <v>794.1286530000001</v>
      </c>
      <c r="I58" s="28">
        <f>manip_pt_pc!I12+'manip_pt_b+c'!I12+manip_pt_rail!I12+manip_pt_air_dom!I12</f>
        <v>35.689304</v>
      </c>
      <c r="J58" s="28">
        <f>manip_pt_pc!J12+'manip_pt_b+c'!J12+manip_pt_rail!J12+manip_pt_air_dom!J12</f>
        <v>801.6447519999999</v>
      </c>
      <c r="K58" s="28">
        <f>manip_pt_pc!K12+'manip_pt_b+c'!K12+manip_pt_rail!K12+manip_pt_air_dom!K12</f>
        <v>6.195</v>
      </c>
      <c r="L58" s="28">
        <f>manip_pt_pc!L12+'manip_pt_b+c'!L12+manip_pt_rail!L12+manip_pt_air_dom!L12</f>
        <v>159.8</v>
      </c>
      <c r="M58" s="28">
        <f>manip_pt_pc!M12+'manip_pt_b+c'!M12+manip_pt_rail!M12+manip_pt_air_dom!M12</f>
        <v>89.551589</v>
      </c>
      <c r="N58" s="28">
        <f>manip_pt_pc!N12+'manip_pt_b+c'!N12+manip_pt_rail!N12+manip_pt_air_dom!N12</f>
        <v>92.99271900000001</v>
      </c>
      <c r="O58" s="28">
        <f>manip_pt_pc!O12+'manip_pt_b+c'!O12+manip_pt_rail!O12+manip_pt_air_dom!O12</f>
        <v>65.723468</v>
      </c>
      <c r="P58" s="28">
        <f>manip_pt_pc!P12+'manip_pt_b+c'!P12+manip_pt_rail!P12+manip_pt_air_dom!P12</f>
        <v>108.36564136394819</v>
      </c>
      <c r="Q58" s="28">
        <f>manip_pt_pc!Q12+'manip_pt_b+c'!Q12+manip_pt_rail!Q12+manip_pt_air_dom!Q12</f>
        <v>704.420626</v>
      </c>
      <c r="S58" s="53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K58" s="53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U58" s="53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</row>
    <row r="59" spans="1:89" ht="11.25">
      <c r="A59" s="53">
        <v>1999</v>
      </c>
      <c r="B59" s="28">
        <f>manip_pt_pc!B13+'manip_pt_b+c'!B13+manip_pt_rail!B13+manip_pt_air_dom!B13</f>
        <v>4414.440764380624</v>
      </c>
      <c r="C59" s="28">
        <f>manip_pt_pc!C13+'manip_pt_b+c'!C13+manip_pt_rail!C13+manip_pt_air_dom!C13</f>
        <v>125.814</v>
      </c>
      <c r="D59" s="28">
        <f>manip_pt_pc!D13+'manip_pt_b+c'!D13+manip_pt_rail!D13+manip_pt_air_dom!D13</f>
        <v>73.68237885714287</v>
      </c>
      <c r="E59" s="28">
        <f>manip_pt_pc!E13+'manip_pt_b+c'!E13+manip_pt_rail!E13+manip_pt_air_dom!E13</f>
        <v>900.5936300168285</v>
      </c>
      <c r="F59" s="28">
        <f>manip_pt_pc!F13+'manip_pt_b+c'!F13+manip_pt_rail!F13+manip_pt_air_dom!F13</f>
        <v>42.94529300000001</v>
      </c>
      <c r="G59" s="28">
        <f>manip_pt_pc!G13+'manip_pt_b+c'!G13+manip_pt_rail!G13+manip_pt_air_dom!G13</f>
        <v>370.935121</v>
      </c>
      <c r="H59" s="28">
        <f>manip_pt_pc!H13+'manip_pt_b+c'!H13+manip_pt_rail!H13+manip_pt_air_dom!H13</f>
        <v>818.021797</v>
      </c>
      <c r="I59" s="28">
        <f>manip_pt_pc!I13+'manip_pt_b+c'!I13+manip_pt_rail!I13+manip_pt_air_dom!I13</f>
        <v>38.430958999999994</v>
      </c>
      <c r="J59" s="28">
        <f>manip_pt_pc!J13+'manip_pt_b+c'!J13+manip_pt_rail!J13+manip_pt_air_dom!J13</f>
        <v>803.8479729999999</v>
      </c>
      <c r="K59" s="28">
        <f>manip_pt_pc!K13+'manip_pt_b+c'!K13+manip_pt_rail!K13+manip_pt_air_dom!K13</f>
        <v>6.21</v>
      </c>
      <c r="L59" s="28">
        <f>manip_pt_pc!L13+'manip_pt_b+c'!L13+manip_pt_rail!L13+manip_pt_air_dom!L13</f>
        <v>163.8</v>
      </c>
      <c r="M59" s="28">
        <f>manip_pt_pc!M13+'manip_pt_b+c'!M13+manip_pt_rail!M13+manip_pt_air_dom!M13</f>
        <v>90.003251</v>
      </c>
      <c r="N59" s="28">
        <f>manip_pt_pc!N13+'manip_pt_b+c'!N13+manip_pt_rail!N13+manip_pt_air_dom!N13</f>
        <v>98.69676299999999</v>
      </c>
      <c r="O59" s="28">
        <f>manip_pt_pc!O13+'manip_pt_b+c'!O13+manip_pt_rail!O13+manip_pt_air_dom!O13</f>
        <v>67.125016</v>
      </c>
      <c r="P59" s="28">
        <f>manip_pt_pc!P13+'manip_pt_b+c'!P13+manip_pt_rail!P13+manip_pt_air_dom!P13</f>
        <v>111.6767125066532</v>
      </c>
      <c r="Q59" s="28">
        <f>manip_pt_pc!Q13+'manip_pt_b+c'!Q13+manip_pt_rail!Q13+manip_pt_air_dom!Q13</f>
        <v>702.65787</v>
      </c>
      <c r="S59" s="53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K59" s="53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U59" s="53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</row>
    <row r="60" spans="1:89" ht="11.25">
      <c r="A60" s="53">
        <v>2000</v>
      </c>
      <c r="B60" s="28">
        <f>manip_pt_pc!B14+'manip_pt_b+c'!B14+manip_pt_rail!B14+manip_pt_air_dom!B14</f>
        <v>4423.681973755309</v>
      </c>
      <c r="C60" s="28">
        <f>manip_pt_pc!C14+'manip_pt_b+c'!C14+manip_pt_rail!C14+manip_pt_air_dom!C14</f>
        <v>127.05199999999999</v>
      </c>
      <c r="D60" s="28">
        <f>manip_pt_pc!D14+'manip_pt_b+c'!D14+manip_pt_rail!D14+manip_pt_air_dom!D14</f>
        <v>73.80799</v>
      </c>
      <c r="E60" s="28">
        <f>manip_pt_pc!E14+'manip_pt_b+c'!E14+manip_pt_rail!E14+manip_pt_air_dom!E14</f>
        <v>872.9970898432942</v>
      </c>
      <c r="F60" s="28">
        <f>manip_pt_pc!F14+'manip_pt_b+c'!F14+manip_pt_rail!F14+manip_pt_air_dom!F14</f>
        <v>42.77960900000001</v>
      </c>
      <c r="G60" s="28">
        <f>manip_pt_pc!G14+'manip_pt_b+c'!G14+manip_pt_rail!G14+manip_pt_air_dom!G14</f>
        <v>384.23167500000005</v>
      </c>
      <c r="H60" s="28">
        <f>manip_pt_pc!H14+'manip_pt_b+c'!H14+manip_pt_rail!H14+manip_pt_air_dom!H14</f>
        <v>824.1194899999999</v>
      </c>
      <c r="I60" s="28">
        <f>manip_pt_pc!I14+'manip_pt_b+c'!I14+manip_pt_rail!I14+manip_pt_air_dom!I14</f>
        <v>40.13950002582492</v>
      </c>
      <c r="J60" s="28">
        <f>manip_pt_pc!J14+'manip_pt_b+c'!J14+manip_pt_rail!J14+manip_pt_air_dom!J14</f>
        <v>810.1351089999999</v>
      </c>
      <c r="K60" s="28">
        <f>manip_pt_pc!K14+'manip_pt_b+c'!K14+manip_pt_rail!K14+manip_pt_air_dom!K14</f>
        <v>6.2640451315801675</v>
      </c>
      <c r="L60" s="28">
        <f>manip_pt_pc!L14+'manip_pt_b+c'!L14+manip_pt_rail!L14+manip_pt_air_dom!L14</f>
        <v>164</v>
      </c>
      <c r="M60" s="28">
        <f>manip_pt_pc!M14+'manip_pt_b+c'!M14+manip_pt_rail!M14+manip_pt_air_dom!M14</f>
        <v>96.06821460323972</v>
      </c>
      <c r="N60" s="28">
        <f>manip_pt_pc!N14+'manip_pt_b+c'!N14+manip_pt_rail!N14+manip_pt_air_dom!N14</f>
        <v>98.200617</v>
      </c>
      <c r="O60" s="28">
        <f>manip_pt_pc!O14+'manip_pt_b+c'!O14+manip_pt_rail!O14+manip_pt_air_dom!O14</f>
        <v>68.088703</v>
      </c>
      <c r="P60" s="28">
        <f>manip_pt_pc!P14+'manip_pt_b+c'!P14+manip_pt_rail!P14+manip_pt_air_dom!P14</f>
        <v>113.50310815137041</v>
      </c>
      <c r="Q60" s="28">
        <f>manip_pt_pc!Q14+'manip_pt_b+c'!Q14+manip_pt_rail!Q14+manip_pt_air_dom!Q14</f>
        <v>702.2948230000001</v>
      </c>
      <c r="S60" s="5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K60" s="53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U60" s="53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</row>
    <row r="61" spans="1:17" ht="11.25">
      <c r="A61" s="53">
        <v>2001</v>
      </c>
      <c r="B61" s="28" t="e">
        <f>manip_pt_pc!B15+'manip_pt_b+c'!B15+manip_pt_rail!B15+manip_pt_air_dom!B15</f>
        <v>#N/A</v>
      </c>
      <c r="C61" s="28" t="e">
        <f>manip_pt_pc!C15+'manip_pt_b+c'!C15+manip_pt_rail!C15+manip_pt_air_dom!C15</f>
        <v>#N/A</v>
      </c>
      <c r="D61" s="28" t="e">
        <f>manip_pt_pc!D15+'manip_pt_b+c'!D15+manip_pt_rail!D15+manip_pt_air_dom!D15</f>
        <v>#N/A</v>
      </c>
      <c r="E61" s="28" t="e">
        <f>manip_pt_pc!E15+'manip_pt_b+c'!E15+manip_pt_rail!E15+manip_pt_air_dom!E15</f>
        <v>#N/A</v>
      </c>
      <c r="F61" s="28" t="e">
        <f>manip_pt_pc!F15+'manip_pt_b+c'!F15+manip_pt_rail!F15+manip_pt_air_dom!F15</f>
        <v>#N/A</v>
      </c>
      <c r="G61" s="28" t="e">
        <f>manip_pt_pc!G15+'manip_pt_b+c'!G15+manip_pt_rail!G15+manip_pt_air_dom!G15</f>
        <v>#N/A</v>
      </c>
      <c r="H61" s="28" t="e">
        <f>manip_pt_pc!H15+'manip_pt_b+c'!H15+manip_pt_rail!H15+manip_pt_air_dom!H15</f>
        <v>#N/A</v>
      </c>
      <c r="I61" s="28" t="e">
        <f>manip_pt_pc!I15+'manip_pt_b+c'!I15+manip_pt_rail!I15+manip_pt_air_dom!I15</f>
        <v>#N/A</v>
      </c>
      <c r="J61" s="28" t="e">
        <f>manip_pt_pc!J15+'manip_pt_b+c'!J15+manip_pt_rail!J15+manip_pt_air_dom!J15</f>
        <v>#N/A</v>
      </c>
      <c r="K61" s="28" t="e">
        <f>manip_pt_pc!K15+'manip_pt_b+c'!K15+manip_pt_rail!K15+manip_pt_air_dom!K15</f>
        <v>#N/A</v>
      </c>
      <c r="L61" s="28" t="e">
        <f>manip_pt_pc!L15+'manip_pt_b+c'!L15+manip_pt_rail!L15+manip_pt_air_dom!L15</f>
        <v>#N/A</v>
      </c>
      <c r="M61" s="28" t="e">
        <f>manip_pt_pc!M15+'manip_pt_b+c'!M15+manip_pt_rail!M15+manip_pt_air_dom!M15</f>
        <v>#N/A</v>
      </c>
      <c r="N61" s="28" t="e">
        <f>manip_pt_pc!N15+'manip_pt_b+c'!N15+manip_pt_rail!N15+manip_pt_air_dom!N15</f>
        <v>#N/A</v>
      </c>
      <c r="O61" s="28" t="e">
        <f>manip_pt_pc!O15+'manip_pt_b+c'!O15+manip_pt_rail!O15+manip_pt_air_dom!O15</f>
        <v>#N/A</v>
      </c>
      <c r="P61" s="28" t="e">
        <f>manip_pt_pc!P15+'manip_pt_b+c'!P15+manip_pt_rail!P15+manip_pt_air_dom!P15</f>
        <v>#N/A</v>
      </c>
      <c r="Q61" s="28" t="e">
        <f>manip_pt_pc!Q15+'manip_pt_b+c'!Q15+manip_pt_rail!Q15+manip_pt_air_dom!Q15</f>
        <v>#N/A</v>
      </c>
    </row>
    <row r="62" spans="1:53" ht="11.25">
      <c r="A62" s="3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S62" s="3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K62" s="31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</row>
    <row r="63" spans="1:53" ht="11.25">
      <c r="A63" s="30" t="s">
        <v>51</v>
      </c>
      <c r="B63" s="30" t="s">
        <v>103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S63" s="3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K63" s="3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</row>
    <row r="65" spans="1:89" ht="11.25">
      <c r="A65" s="6" t="s">
        <v>127</v>
      </c>
      <c r="S65" s="47"/>
      <c r="AV65" s="2"/>
      <c r="AW65" s="2"/>
      <c r="BU65" s="2"/>
      <c r="BV65" s="52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</row>
    <row r="66" spans="2:89" ht="11.25">
      <c r="B66" s="111" t="e">
        <f>+BU17/BV17-1</f>
        <v>#DIV/0!</v>
      </c>
      <c r="C66" s="111">
        <f aca="true" t="shared" si="2" ref="C66:Q66">+C59/C51-1</f>
        <v>0.2472762240881916</v>
      </c>
      <c r="D66" s="111">
        <f t="shared" si="2"/>
        <v>0.16889659157667136</v>
      </c>
      <c r="E66" s="111">
        <f t="shared" si="2"/>
        <v>0.06879083517840812</v>
      </c>
      <c r="F66" s="111">
        <f t="shared" si="2"/>
        <v>0.552516976347315</v>
      </c>
      <c r="G66" s="111">
        <f t="shared" si="2"/>
        <v>0.5570912536571284</v>
      </c>
      <c r="H66" s="111">
        <f t="shared" si="2"/>
        <v>0.14779894734094312</v>
      </c>
      <c r="I66" s="111">
        <f t="shared" si="2"/>
        <v>0.5589779331226918</v>
      </c>
      <c r="J66" s="111">
        <f t="shared" si="2"/>
        <v>0.19882271032800558</v>
      </c>
      <c r="K66" s="111">
        <f t="shared" si="2"/>
        <v>0.2877960868347602</v>
      </c>
      <c r="L66" s="111">
        <f t="shared" si="2"/>
        <v>0.1075268620903902</v>
      </c>
      <c r="M66" s="111">
        <f t="shared" si="2"/>
        <v>0.013777744376884948</v>
      </c>
      <c r="N66" s="111">
        <f t="shared" si="2"/>
        <v>0.6335954476574048</v>
      </c>
      <c r="O66" s="111">
        <f t="shared" si="2"/>
        <v>0.1481365145878044</v>
      </c>
      <c r="P66" s="111">
        <f t="shared" si="2"/>
        <v>0.09380239047365357</v>
      </c>
      <c r="Q66" s="111">
        <f t="shared" si="2"/>
        <v>0.05904769634844631</v>
      </c>
      <c r="BC66" s="2"/>
      <c r="BU66" s="29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46"/>
    </row>
    <row r="67" spans="20:89" ht="11.25"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W67" s="87"/>
      <c r="BC67" s="29"/>
      <c r="BU67" s="29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46"/>
    </row>
    <row r="68" spans="19:89" ht="11.25">
      <c r="S68" s="31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W68" s="87"/>
      <c r="BC68" s="2"/>
      <c r="BU68" s="31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46"/>
    </row>
    <row r="69" spans="1:89" ht="11.25">
      <c r="A69" s="2" t="s">
        <v>241</v>
      </c>
      <c r="S69" s="31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W69" s="8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</row>
    <row r="70" spans="1:89" ht="11.25" customHeight="1" hidden="1" outlineLevel="1">
      <c r="A70" s="29" t="s">
        <v>32</v>
      </c>
      <c r="S70" s="83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W70" s="87"/>
      <c r="BC70" s="53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U70" s="53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</row>
    <row r="71" spans="1:89" ht="11.25" customHeight="1" hidden="1" outlineLevel="1">
      <c r="A71" s="2"/>
      <c r="S71" s="83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W71" s="87"/>
      <c r="BC71" s="53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U71" s="53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</row>
    <row r="72" spans="1:89" ht="11.25" customHeight="1" hidden="1" outlineLevel="1">
      <c r="A72" s="37"/>
      <c r="B72" s="120" t="s">
        <v>5</v>
      </c>
      <c r="C72" s="120" t="s">
        <v>7</v>
      </c>
      <c r="D72" s="120" t="s">
        <v>8</v>
      </c>
      <c r="E72" s="120" t="s">
        <v>9</v>
      </c>
      <c r="F72" s="120" t="s">
        <v>10</v>
      </c>
      <c r="G72" s="120" t="s">
        <v>11</v>
      </c>
      <c r="H72" s="120" t="s">
        <v>12</v>
      </c>
      <c r="I72" s="120" t="s">
        <v>13</v>
      </c>
      <c r="J72" s="120" t="s">
        <v>14</v>
      </c>
      <c r="K72" s="120" t="s">
        <v>15</v>
      </c>
      <c r="L72" s="120" t="s">
        <v>16</v>
      </c>
      <c r="M72" s="120" t="s">
        <v>17</v>
      </c>
      <c r="N72" s="120" t="s">
        <v>18</v>
      </c>
      <c r="O72" s="120" t="s">
        <v>19</v>
      </c>
      <c r="P72" s="120" t="s">
        <v>20</v>
      </c>
      <c r="Q72" s="120" t="s">
        <v>21</v>
      </c>
      <c r="S72" s="83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W72" s="87"/>
      <c r="BC72" s="53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U72" s="53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</row>
    <row r="73" spans="1:89" ht="11.25" customHeight="1" hidden="1" outlineLevel="1">
      <c r="A73" s="53">
        <v>1980</v>
      </c>
      <c r="B73" s="87" t="e">
        <f>(manip_pt_pc!#REF!)/BD185</f>
        <v>#REF!</v>
      </c>
      <c r="C73" s="87" t="e">
        <f>(manip_pt_pc!#REF!)/C40</f>
        <v>#REF!</v>
      </c>
      <c r="D73" s="87" t="e">
        <f>(manip_pt_pc!#REF!)/D40</f>
        <v>#REF!</v>
      </c>
      <c r="E73" s="87" t="e">
        <f>(manip_pt_pc!#REF!)/E40</f>
        <v>#REF!</v>
      </c>
      <c r="F73" s="87" t="e">
        <f>(manip_pt_pc!#REF!)/F40</f>
        <v>#REF!</v>
      </c>
      <c r="G73" s="87" t="e">
        <f>(manip_pt_pc!#REF!)/G40</f>
        <v>#REF!</v>
      </c>
      <c r="H73" s="87" t="e">
        <f>(manip_pt_pc!#REF!)/H40</f>
        <v>#REF!</v>
      </c>
      <c r="I73" s="87" t="e">
        <f>(manip_pt_pc!#REF!)/I40</f>
        <v>#REF!</v>
      </c>
      <c r="J73" s="87" t="e">
        <f>(manip_pt_pc!#REF!)/J40</f>
        <v>#REF!</v>
      </c>
      <c r="K73" s="87" t="e">
        <f>(manip_pt_pc!#REF!)/K40</f>
        <v>#REF!</v>
      </c>
      <c r="L73" s="87" t="e">
        <f>(manip_pt_pc!#REF!)/L40</f>
        <v>#REF!</v>
      </c>
      <c r="M73" s="87" t="e">
        <f>(manip_pt_pc!#REF!)/M40</f>
        <v>#REF!</v>
      </c>
      <c r="N73" s="87" t="e">
        <f>(manip_pt_pc!#REF!)/N40</f>
        <v>#REF!</v>
      </c>
      <c r="O73" s="87" t="e">
        <f>(manip_pt_pc!#REF!)/O40</f>
        <v>#REF!</v>
      </c>
      <c r="P73" s="87" t="e">
        <f>(manip_pt_pc!#REF!)/P40</f>
        <v>#REF!</v>
      </c>
      <c r="Q73" s="87" t="e">
        <f>(manip_pt_pc!#REF!)/Q40</f>
        <v>#REF!</v>
      </c>
      <c r="S73" s="83"/>
      <c r="AW73" s="87"/>
      <c r="BC73" s="53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U73" s="53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</row>
    <row r="74" spans="1:89" ht="11.25" customHeight="1" hidden="1" outlineLevel="1">
      <c r="A74" s="53">
        <v>1981</v>
      </c>
      <c r="B74" s="87" t="e">
        <f>(manip_pt_pc!#REF!)/B41</f>
        <v>#REF!</v>
      </c>
      <c r="C74" s="87" t="e">
        <f>(manip_pt_pc!#REF!)/C41</f>
        <v>#REF!</v>
      </c>
      <c r="D74" s="87" t="e">
        <f>(manip_pt_pc!#REF!)/D41</f>
        <v>#REF!</v>
      </c>
      <c r="E74" s="87" t="e">
        <f>(manip_pt_pc!#REF!)/E41</f>
        <v>#REF!</v>
      </c>
      <c r="F74" s="87" t="e">
        <f>(manip_pt_pc!#REF!)/F41</f>
        <v>#REF!</v>
      </c>
      <c r="G74" s="87" t="e">
        <f>(manip_pt_pc!#REF!)/G41</f>
        <v>#REF!</v>
      </c>
      <c r="H74" s="87" t="e">
        <f>(manip_pt_pc!#REF!)/H41</f>
        <v>#REF!</v>
      </c>
      <c r="I74" s="87" t="e">
        <f>(manip_pt_pc!#REF!)/I41</f>
        <v>#REF!</v>
      </c>
      <c r="J74" s="87" t="e">
        <f>(manip_pt_pc!#REF!)/J41</f>
        <v>#REF!</v>
      </c>
      <c r="K74" s="87" t="e">
        <f>(manip_pt_pc!#REF!)/K41</f>
        <v>#REF!</v>
      </c>
      <c r="L74" s="87" t="e">
        <f>(manip_pt_pc!#REF!)/L41</f>
        <v>#REF!</v>
      </c>
      <c r="M74" s="87" t="e">
        <f>(manip_pt_pc!#REF!)/M41</f>
        <v>#REF!</v>
      </c>
      <c r="N74" s="87" t="e">
        <f>(manip_pt_pc!#REF!)/N41</f>
        <v>#REF!</v>
      </c>
      <c r="O74" s="87" t="e">
        <f>(manip_pt_pc!#REF!)/O41</f>
        <v>#REF!</v>
      </c>
      <c r="P74" s="87" t="e">
        <f>(manip_pt_pc!#REF!)/P41</f>
        <v>#REF!</v>
      </c>
      <c r="Q74" s="87" t="e">
        <f>(manip_pt_pc!#REF!)/Q41</f>
        <v>#REF!</v>
      </c>
      <c r="S74" s="83"/>
      <c r="AW74" s="87"/>
      <c r="BC74" s="53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U74" s="53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</row>
    <row r="75" spans="1:89" ht="11.25" customHeight="1" hidden="1" outlineLevel="1">
      <c r="A75" s="53">
        <v>1982</v>
      </c>
      <c r="B75" s="87" t="e">
        <f>(manip_pt_pc!#REF!)/B42</f>
        <v>#REF!</v>
      </c>
      <c r="C75" s="87" t="e">
        <f>(manip_pt_pc!#REF!)/C42</f>
        <v>#REF!</v>
      </c>
      <c r="D75" s="87" t="e">
        <f>(manip_pt_pc!#REF!)/D42</f>
        <v>#REF!</v>
      </c>
      <c r="E75" s="87" t="e">
        <f>(manip_pt_pc!#REF!)/E42</f>
        <v>#REF!</v>
      </c>
      <c r="F75" s="87" t="e">
        <f>(manip_pt_pc!#REF!)/F42</f>
        <v>#REF!</v>
      </c>
      <c r="G75" s="87" t="e">
        <f>(manip_pt_pc!#REF!)/G42</f>
        <v>#REF!</v>
      </c>
      <c r="H75" s="87" t="e">
        <f>(manip_pt_pc!#REF!)/H42</f>
        <v>#REF!</v>
      </c>
      <c r="I75" s="87" t="e">
        <f>(manip_pt_pc!#REF!)/I42</f>
        <v>#REF!</v>
      </c>
      <c r="J75" s="87" t="e">
        <f>(manip_pt_pc!#REF!)/J42</f>
        <v>#REF!</v>
      </c>
      <c r="K75" s="87" t="e">
        <f>(manip_pt_pc!#REF!)/K42</f>
        <v>#REF!</v>
      </c>
      <c r="L75" s="87" t="e">
        <f>(manip_pt_pc!#REF!)/L42</f>
        <v>#REF!</v>
      </c>
      <c r="M75" s="87" t="e">
        <f>(manip_pt_pc!#REF!)/M42</f>
        <v>#REF!</v>
      </c>
      <c r="N75" s="87" t="e">
        <f>(manip_pt_pc!#REF!)/N42</f>
        <v>#REF!</v>
      </c>
      <c r="O75" s="87" t="e">
        <f>(manip_pt_pc!#REF!)/O42</f>
        <v>#REF!</v>
      </c>
      <c r="P75" s="87" t="e">
        <f>(manip_pt_pc!#REF!)/P42</f>
        <v>#REF!</v>
      </c>
      <c r="Q75" s="87" t="e">
        <f>(manip_pt_pc!#REF!)/Q42</f>
        <v>#REF!</v>
      </c>
      <c r="AW75" s="87"/>
      <c r="BC75" s="53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U75" s="53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</row>
    <row r="76" spans="1:89" ht="11.25" customHeight="1" hidden="1" outlineLevel="1">
      <c r="A76" s="53">
        <v>1983</v>
      </c>
      <c r="B76" s="87" t="e">
        <f>(manip_pt_pc!#REF!)/B43</f>
        <v>#REF!</v>
      </c>
      <c r="C76" s="87" t="e">
        <f>(manip_pt_pc!#REF!)/C43</f>
        <v>#REF!</v>
      </c>
      <c r="D76" s="87" t="e">
        <f>(manip_pt_pc!#REF!)/D43</f>
        <v>#REF!</v>
      </c>
      <c r="E76" s="87" t="e">
        <f>(manip_pt_pc!#REF!)/E43</f>
        <v>#REF!</v>
      </c>
      <c r="F76" s="87" t="e">
        <f>(manip_pt_pc!#REF!)/F43</f>
        <v>#REF!</v>
      </c>
      <c r="G76" s="87" t="e">
        <f>(manip_pt_pc!#REF!)/G43</f>
        <v>#REF!</v>
      </c>
      <c r="H76" s="87" t="e">
        <f>(manip_pt_pc!#REF!)/H43</f>
        <v>#REF!</v>
      </c>
      <c r="I76" s="87" t="e">
        <f>(manip_pt_pc!#REF!)/I43</f>
        <v>#REF!</v>
      </c>
      <c r="J76" s="87" t="e">
        <f>(manip_pt_pc!#REF!)/J43</f>
        <v>#REF!</v>
      </c>
      <c r="K76" s="87" t="e">
        <f>(manip_pt_pc!#REF!)/K43</f>
        <v>#REF!</v>
      </c>
      <c r="L76" s="87" t="e">
        <f>(manip_pt_pc!#REF!)/L43</f>
        <v>#REF!</v>
      </c>
      <c r="M76" s="87" t="e">
        <f>(manip_pt_pc!#REF!)/M43</f>
        <v>#REF!</v>
      </c>
      <c r="N76" s="87" t="e">
        <f>(manip_pt_pc!#REF!)/N43</f>
        <v>#REF!</v>
      </c>
      <c r="O76" s="87" t="e">
        <f>(manip_pt_pc!#REF!)/O43</f>
        <v>#REF!</v>
      </c>
      <c r="P76" s="87" t="e">
        <f>(manip_pt_pc!#REF!)/P43</f>
        <v>#REF!</v>
      </c>
      <c r="Q76" s="87" t="e">
        <f>(manip_pt_pc!#REF!)/Q43</f>
        <v>#REF!</v>
      </c>
      <c r="T76" s="50"/>
      <c r="U76" s="50"/>
      <c r="V76" s="50"/>
      <c r="W76" s="50"/>
      <c r="X76" s="50"/>
      <c r="AW76" s="87"/>
      <c r="BC76" s="53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U76" s="53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</row>
    <row r="77" spans="1:89" ht="11.25" customHeight="1" hidden="1" outlineLevel="1">
      <c r="A77" s="53">
        <v>1984</v>
      </c>
      <c r="B77" s="87" t="e">
        <f>(manip_pt_pc!#REF!)/B44</f>
        <v>#REF!</v>
      </c>
      <c r="C77" s="87" t="e">
        <f>(manip_pt_pc!#REF!)/C44</f>
        <v>#REF!</v>
      </c>
      <c r="D77" s="87" t="e">
        <f>(manip_pt_pc!#REF!)/D44</f>
        <v>#REF!</v>
      </c>
      <c r="E77" s="87" t="e">
        <f>(manip_pt_pc!#REF!)/E44</f>
        <v>#REF!</v>
      </c>
      <c r="F77" s="87" t="e">
        <f>(manip_pt_pc!#REF!)/F44</f>
        <v>#REF!</v>
      </c>
      <c r="G77" s="87" t="e">
        <f>(manip_pt_pc!#REF!)/G44</f>
        <v>#REF!</v>
      </c>
      <c r="H77" s="87" t="e">
        <f>(manip_pt_pc!#REF!)/H44</f>
        <v>#REF!</v>
      </c>
      <c r="I77" s="87" t="e">
        <f>(manip_pt_pc!#REF!)/I44</f>
        <v>#REF!</v>
      </c>
      <c r="J77" s="87" t="e">
        <f>(manip_pt_pc!#REF!)/J44</f>
        <v>#REF!</v>
      </c>
      <c r="K77" s="87" t="e">
        <f>(manip_pt_pc!#REF!)/K44</f>
        <v>#REF!</v>
      </c>
      <c r="L77" s="87" t="e">
        <f>(manip_pt_pc!#REF!)/L44</f>
        <v>#REF!</v>
      </c>
      <c r="M77" s="87" t="e">
        <f>(manip_pt_pc!#REF!)/M44</f>
        <v>#REF!</v>
      </c>
      <c r="N77" s="87" t="e">
        <f>(manip_pt_pc!#REF!)/N44</f>
        <v>#REF!</v>
      </c>
      <c r="O77" s="87" t="e">
        <f>(manip_pt_pc!#REF!)/O44</f>
        <v>#REF!</v>
      </c>
      <c r="P77" s="87" t="e">
        <f>(manip_pt_pc!#REF!)/P44</f>
        <v>#REF!</v>
      </c>
      <c r="Q77" s="87" t="e">
        <f>(manip_pt_pc!#REF!)/Q44</f>
        <v>#REF!</v>
      </c>
      <c r="T77" s="125"/>
      <c r="U77" s="125"/>
      <c r="V77" s="125"/>
      <c r="W77" s="125"/>
      <c r="X77" s="125"/>
      <c r="AW77" s="87"/>
      <c r="BC77" s="53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U77" s="53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</row>
    <row r="78" spans="1:89" ht="11.25" customHeight="1" hidden="1" outlineLevel="1">
      <c r="A78" s="53">
        <v>1985</v>
      </c>
      <c r="B78" s="87" t="e">
        <f>(manip_pt_pc!#REF!)/B45</f>
        <v>#REF!</v>
      </c>
      <c r="C78" s="87" t="e">
        <f>(manip_pt_pc!#REF!)/C45</f>
        <v>#REF!</v>
      </c>
      <c r="D78" s="87" t="e">
        <f>(manip_pt_pc!#REF!)/D45</f>
        <v>#REF!</v>
      </c>
      <c r="E78" s="87" t="e">
        <f>(manip_pt_pc!#REF!)/E45</f>
        <v>#REF!</v>
      </c>
      <c r="F78" s="87" t="e">
        <f>(manip_pt_pc!#REF!)/F45</f>
        <v>#REF!</v>
      </c>
      <c r="G78" s="87" t="e">
        <f>(manip_pt_pc!#REF!)/G45</f>
        <v>#REF!</v>
      </c>
      <c r="H78" s="87" t="e">
        <f>(manip_pt_pc!#REF!)/H45</f>
        <v>#REF!</v>
      </c>
      <c r="I78" s="87" t="e">
        <f>(manip_pt_pc!#REF!)/I45</f>
        <v>#REF!</v>
      </c>
      <c r="J78" s="87" t="e">
        <f>(manip_pt_pc!#REF!)/J45</f>
        <v>#REF!</v>
      </c>
      <c r="K78" s="87" t="e">
        <f>(manip_pt_pc!#REF!)/K45</f>
        <v>#REF!</v>
      </c>
      <c r="L78" s="87" t="e">
        <f>(manip_pt_pc!#REF!)/L45</f>
        <v>#REF!</v>
      </c>
      <c r="M78" s="87" t="e">
        <f>(manip_pt_pc!#REF!)/M45</f>
        <v>#REF!</v>
      </c>
      <c r="N78" s="87" t="e">
        <f>(manip_pt_pc!#REF!)/N45</f>
        <v>#REF!</v>
      </c>
      <c r="O78" s="87" t="e">
        <f>(manip_pt_pc!#REF!)/O45</f>
        <v>#REF!</v>
      </c>
      <c r="P78" s="87" t="e">
        <f>(manip_pt_pc!#REF!)/P45</f>
        <v>#REF!</v>
      </c>
      <c r="Q78" s="87" t="e">
        <f>(manip_pt_pc!#REF!)/Q45</f>
        <v>#REF!</v>
      </c>
      <c r="T78" s="125"/>
      <c r="U78" s="125"/>
      <c r="V78" s="125"/>
      <c r="W78" s="125"/>
      <c r="X78" s="125"/>
      <c r="AW78" s="87"/>
      <c r="BC78" s="53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U78" s="53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</row>
    <row r="79" spans="1:89" ht="11.25" customHeight="1" hidden="1" outlineLevel="1">
      <c r="A79" s="53">
        <v>1986</v>
      </c>
      <c r="B79" s="87" t="e">
        <f>(manip_pt_pc!#REF!)/B46</f>
        <v>#REF!</v>
      </c>
      <c r="C79" s="87" t="e">
        <f>(manip_pt_pc!#REF!)/C46</f>
        <v>#REF!</v>
      </c>
      <c r="D79" s="87" t="e">
        <f>(manip_pt_pc!#REF!)/D46</f>
        <v>#REF!</v>
      </c>
      <c r="E79" s="87" t="e">
        <f>(manip_pt_pc!#REF!)/E46</f>
        <v>#REF!</v>
      </c>
      <c r="F79" s="87" t="e">
        <f>(manip_pt_pc!#REF!)/F46</f>
        <v>#REF!</v>
      </c>
      <c r="G79" s="87" t="e">
        <f>(manip_pt_pc!#REF!)/G46</f>
        <v>#REF!</v>
      </c>
      <c r="H79" s="87" t="e">
        <f>(manip_pt_pc!#REF!)/H46</f>
        <v>#REF!</v>
      </c>
      <c r="I79" s="87" t="e">
        <f>(manip_pt_pc!#REF!)/I46</f>
        <v>#REF!</v>
      </c>
      <c r="J79" s="87" t="e">
        <f>(manip_pt_pc!#REF!)/J46</f>
        <v>#REF!</v>
      </c>
      <c r="K79" s="87" t="e">
        <f>(manip_pt_pc!#REF!)/K46</f>
        <v>#REF!</v>
      </c>
      <c r="L79" s="87" t="e">
        <f>(manip_pt_pc!#REF!)/L46</f>
        <v>#REF!</v>
      </c>
      <c r="M79" s="87" t="e">
        <f>(manip_pt_pc!#REF!)/M46</f>
        <v>#REF!</v>
      </c>
      <c r="N79" s="87" t="e">
        <f>(manip_pt_pc!#REF!)/N46</f>
        <v>#REF!</v>
      </c>
      <c r="O79" s="87" t="e">
        <f>(manip_pt_pc!#REF!)/O46</f>
        <v>#REF!</v>
      </c>
      <c r="P79" s="87" t="e">
        <f>(manip_pt_pc!#REF!)/P46</f>
        <v>#REF!</v>
      </c>
      <c r="Q79" s="87" t="e">
        <f>(manip_pt_pc!#REF!)/Q46</f>
        <v>#REF!</v>
      </c>
      <c r="T79" s="125"/>
      <c r="U79" s="125"/>
      <c r="V79" s="125"/>
      <c r="W79" s="125"/>
      <c r="X79" s="125"/>
      <c r="AW79" s="87"/>
      <c r="BC79" s="53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U79" s="53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</row>
    <row r="80" spans="1:89" ht="11.25" customHeight="1" hidden="1" outlineLevel="1">
      <c r="A80" s="53">
        <v>1987</v>
      </c>
      <c r="B80" s="87" t="e">
        <f>(manip_pt_pc!#REF!)/B47</f>
        <v>#REF!</v>
      </c>
      <c r="C80" s="87" t="e">
        <f>(manip_pt_pc!#REF!)/C47</f>
        <v>#REF!</v>
      </c>
      <c r="D80" s="87" t="e">
        <f>(manip_pt_pc!#REF!)/D47</f>
        <v>#REF!</v>
      </c>
      <c r="E80" s="87" t="e">
        <f>(manip_pt_pc!#REF!)/E47</f>
        <v>#REF!</v>
      </c>
      <c r="F80" s="87" t="e">
        <f>(manip_pt_pc!#REF!)/F47</f>
        <v>#REF!</v>
      </c>
      <c r="G80" s="87" t="e">
        <f>(manip_pt_pc!#REF!)/G47</f>
        <v>#REF!</v>
      </c>
      <c r="H80" s="87" t="e">
        <f>(manip_pt_pc!#REF!)/H47</f>
        <v>#REF!</v>
      </c>
      <c r="I80" s="87" t="e">
        <f>(manip_pt_pc!#REF!)/I47</f>
        <v>#REF!</v>
      </c>
      <c r="J80" s="87" t="e">
        <f>(manip_pt_pc!#REF!)/J47</f>
        <v>#REF!</v>
      </c>
      <c r="K80" s="87" t="e">
        <f>(manip_pt_pc!#REF!)/K47</f>
        <v>#REF!</v>
      </c>
      <c r="L80" s="87" t="e">
        <f>(manip_pt_pc!#REF!)/L47</f>
        <v>#REF!</v>
      </c>
      <c r="M80" s="87" t="e">
        <f>(manip_pt_pc!#REF!)/M47</f>
        <v>#REF!</v>
      </c>
      <c r="N80" s="87" t="e">
        <f>(manip_pt_pc!#REF!)/N47</f>
        <v>#REF!</v>
      </c>
      <c r="O80" s="87" t="e">
        <f>(manip_pt_pc!#REF!)/O47</f>
        <v>#REF!</v>
      </c>
      <c r="P80" s="87" t="e">
        <f>(manip_pt_pc!#REF!)/P47</f>
        <v>#REF!</v>
      </c>
      <c r="Q80" s="87" t="e">
        <f>(manip_pt_pc!#REF!)/Q47</f>
        <v>#REF!</v>
      </c>
      <c r="T80" s="125"/>
      <c r="U80" s="125"/>
      <c r="V80" s="125"/>
      <c r="W80" s="125"/>
      <c r="X80" s="125"/>
      <c r="AW80" s="87"/>
      <c r="BC80" s="53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U80" s="53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</row>
    <row r="81" spans="1:89" ht="11.25" collapsed="1">
      <c r="A81" s="53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T81" s="125"/>
      <c r="U81" s="125"/>
      <c r="V81" s="125"/>
      <c r="W81" s="125"/>
      <c r="X81" s="125"/>
      <c r="AW81" s="87"/>
      <c r="BC81" s="53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U81" s="53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</row>
    <row r="82" spans="1:89" ht="11.25">
      <c r="A82" s="53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T82" s="125"/>
      <c r="U82" s="125"/>
      <c r="V82" s="125"/>
      <c r="W82" s="125"/>
      <c r="X82" s="125"/>
      <c r="AW82" s="87"/>
      <c r="BC82" s="53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U82" s="53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</row>
    <row r="83" spans="1:89" ht="11.25">
      <c r="A83" s="53"/>
      <c r="B83" s="120" t="s">
        <v>5</v>
      </c>
      <c r="C83" s="120" t="s">
        <v>7</v>
      </c>
      <c r="D83" s="120" t="s">
        <v>8</v>
      </c>
      <c r="E83" s="120" t="s">
        <v>9</v>
      </c>
      <c r="F83" s="120" t="s">
        <v>10</v>
      </c>
      <c r="G83" s="120" t="s">
        <v>11</v>
      </c>
      <c r="H83" s="120" t="s">
        <v>12</v>
      </c>
      <c r="I83" s="120" t="s">
        <v>13</v>
      </c>
      <c r="J83" s="120" t="s">
        <v>14</v>
      </c>
      <c r="K83" s="120" t="s">
        <v>15</v>
      </c>
      <c r="L83" s="120" t="s">
        <v>16</v>
      </c>
      <c r="M83" s="120" t="s">
        <v>17</v>
      </c>
      <c r="N83" s="120" t="s">
        <v>18</v>
      </c>
      <c r="O83" s="120" t="s">
        <v>19</v>
      </c>
      <c r="P83" s="120" t="s">
        <v>20</v>
      </c>
      <c r="Q83" s="120" t="s">
        <v>21</v>
      </c>
      <c r="T83" s="125"/>
      <c r="U83" s="125"/>
      <c r="V83" s="125"/>
      <c r="W83" s="125"/>
      <c r="X83" s="125"/>
      <c r="BC83" s="53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U83" s="53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</row>
    <row r="84" spans="1:89" ht="11.25">
      <c r="A84" s="53">
        <v>1991</v>
      </c>
      <c r="B84" s="87">
        <f>(manip_pt_pc!B5)/B51</f>
        <v>0.827592509178651</v>
      </c>
      <c r="C84" s="87">
        <f>(manip_pt_pc!C5)/C51</f>
        <v>0.8218417582853347</v>
      </c>
      <c r="D84" s="87">
        <f>(manip_pt_pc!D5)/D51</f>
        <v>0.8117762810500172</v>
      </c>
      <c r="E84" s="87">
        <f>(manip_pt_pc!E5)/E51</f>
        <v>0.8306151416231867</v>
      </c>
      <c r="F84" s="87">
        <f>(manip_pt_pc!F5)/F51</f>
        <v>0.7092833916847259</v>
      </c>
      <c r="G84" s="87">
        <f>(manip_pt_pc!G5)/G51</f>
        <v>0.7675577738868408</v>
      </c>
      <c r="H84" s="87">
        <f>(manip_pt_pc!H5)/H51</f>
        <v>0.8406210590889169</v>
      </c>
      <c r="I84" s="87">
        <f>(manip_pt_pc!I5)/I51</f>
        <v>0.7788610301386361</v>
      </c>
      <c r="J84" s="87">
        <f>(manip_pt_pc!J5)/J51</f>
        <v>0.8027442101601269</v>
      </c>
      <c r="K84" s="87">
        <f>(manip_pt_pc!K5)/K51</f>
        <v>0.8606044702679961</v>
      </c>
      <c r="L84" s="87">
        <f>(manip_pt_pc!L5)/L51</f>
        <v>0.8418015526877507</v>
      </c>
      <c r="M84" s="87">
        <f>(manip_pt_pc!M5)/M51</f>
        <v>0.7929708361771588</v>
      </c>
      <c r="N84" s="87">
        <f>(manip_pt_pc!N5)/N51</f>
        <v>0.7150317922665802</v>
      </c>
      <c r="O84" s="87">
        <f>(manip_pt_pc!O5)/O51</f>
        <v>0.7936465039632038</v>
      </c>
      <c r="P84" s="87">
        <f>(manip_pt_pc!P5)/P51</f>
        <v>0.8459277347483404</v>
      </c>
      <c r="Q84" s="87">
        <f>(manip_pt_pc!Q5)/Q51</f>
        <v>0.8771918533763747</v>
      </c>
      <c r="T84" s="125"/>
      <c r="U84" s="125"/>
      <c r="V84" s="125"/>
      <c r="W84" s="125"/>
      <c r="X84" s="125"/>
      <c r="BC84" s="53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U84" s="53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</row>
    <row r="85" spans="1:89" ht="11.25">
      <c r="A85" s="53">
        <v>1992</v>
      </c>
      <c r="B85" s="87">
        <f>(manip_pt_pc!B6)/B52</f>
        <v>0.8319004978364027</v>
      </c>
      <c r="C85" s="87">
        <f>(manip_pt_pc!C6)/C52</f>
        <v>0.8216942831057323</v>
      </c>
      <c r="D85" s="87">
        <f>(manip_pt_pc!D6)/D52</f>
        <v>0.8123997975671815</v>
      </c>
      <c r="E85" s="87">
        <f>(manip_pt_pc!E6)/E52</f>
        <v>0.8348488793210271</v>
      </c>
      <c r="F85" s="87">
        <f>(manip_pt_pc!F6)/F52</f>
        <v>0.7111576714167165</v>
      </c>
      <c r="G85" s="87">
        <f>(manip_pt_pc!G6)/G52</f>
        <v>0.7699128810689604</v>
      </c>
      <c r="H85" s="87">
        <f>(manip_pt_pc!H6)/H52</f>
        <v>0.8471254568074256</v>
      </c>
      <c r="I85" s="87">
        <f>(manip_pt_pc!I6)/I52</f>
        <v>0.7799362579367377</v>
      </c>
      <c r="J85" s="87">
        <f>(manip_pt_pc!J6)/J52</f>
        <v>0.8181849664913993</v>
      </c>
      <c r="K85" s="87">
        <f>(manip_pt_pc!K6)/K52</f>
        <v>0.8683502175646922</v>
      </c>
      <c r="L85" s="87">
        <f>(manip_pt_pc!L6)/L52</f>
        <v>0.8444531658817372</v>
      </c>
      <c r="M85" s="87">
        <f>(manip_pt_pc!M6)/M52</f>
        <v>0.7836610050306513</v>
      </c>
      <c r="N85" s="87">
        <f>(manip_pt_pc!N6)/N52</f>
        <v>0.6999693980321025</v>
      </c>
      <c r="O85" s="87">
        <f>(manip_pt_pc!O6)/O52</f>
        <v>0.8109667157698431</v>
      </c>
      <c r="P85" s="87">
        <f>(manip_pt_pc!P6)/P52</f>
        <v>0.8460172575925474</v>
      </c>
      <c r="Q85" s="87">
        <f>(manip_pt_pc!Q6)/Q52</f>
        <v>0.877113028473839</v>
      </c>
      <c r="T85" s="125"/>
      <c r="U85" s="125"/>
      <c r="V85" s="125"/>
      <c r="W85" s="125"/>
      <c r="X85" s="125"/>
      <c r="BC85" s="53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U85" s="53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</row>
    <row r="86" spans="1:89" ht="11.25">
      <c r="A86" s="53">
        <v>1993</v>
      </c>
      <c r="B86" s="87">
        <f>(manip_pt_pc!B7)/B53</f>
        <v>0.8353329878670583</v>
      </c>
      <c r="C86" s="87">
        <f>(manip_pt_pc!C7)/C53</f>
        <v>0.8260927429321064</v>
      </c>
      <c r="D86" s="87">
        <f>(manip_pt_pc!D7)/D53</f>
        <v>0.8048307186583522</v>
      </c>
      <c r="E86" s="87">
        <f>(manip_pt_pc!E7)/E53</f>
        <v>0.8365288486898291</v>
      </c>
      <c r="F86" s="87">
        <f>(manip_pt_pc!F7)/F53</f>
        <v>0.7347209027486148</v>
      </c>
      <c r="G86" s="87">
        <f>(manip_pt_pc!G7)/G53</f>
        <v>0.7747358609582897</v>
      </c>
      <c r="H86" s="87">
        <f>(manip_pt_pc!H7)/H53</f>
        <v>0.8539056590683114</v>
      </c>
      <c r="I86" s="87">
        <f>(manip_pt_pc!I7)/I53</f>
        <v>0.7798334169824549</v>
      </c>
      <c r="J86" s="87">
        <f>(manip_pt_pc!J7)/J53</f>
        <v>0.8239991992845466</v>
      </c>
      <c r="K86" s="87">
        <f>(manip_pt_pc!K7)/K53</f>
        <v>0.8717551336691204</v>
      </c>
      <c r="L86" s="87">
        <f>(manip_pt_pc!L7)/L53</f>
        <v>0.842965850403871</v>
      </c>
      <c r="M86" s="87">
        <f>(manip_pt_pc!M7)/M53</f>
        <v>0.773347858757524</v>
      </c>
      <c r="N86" s="87">
        <f>(manip_pt_pc!N7)/N53</f>
        <v>0.7418399806651305</v>
      </c>
      <c r="O86" s="87">
        <f>(manip_pt_pc!O7)/O53</f>
        <v>0.8106077070525726</v>
      </c>
      <c r="P86" s="87">
        <f>(manip_pt_pc!P7)/P53</f>
        <v>0.8343578852904732</v>
      </c>
      <c r="Q86" s="87">
        <f>(manip_pt_pc!Q7)/Q53</f>
        <v>0.8784244853990439</v>
      </c>
      <c r="T86" s="125"/>
      <c r="U86" s="125"/>
      <c r="V86" s="125"/>
      <c r="W86" s="125"/>
      <c r="X86" s="125"/>
      <c r="BC86" s="53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U86" s="53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</row>
    <row r="87" spans="1:89" ht="11.25">
      <c r="A87" s="53">
        <v>1994</v>
      </c>
      <c r="B87" s="87">
        <f>(manip_pt_pc!B8)/B54</f>
        <v>0.8356290872486336</v>
      </c>
      <c r="C87" s="87">
        <f>(manip_pt_pc!C8)/C54</f>
        <v>0.8276461558379108</v>
      </c>
      <c r="D87" s="87">
        <f>(manip_pt_pc!D8)/D54</f>
        <v>0.803517133082653</v>
      </c>
      <c r="E87" s="87">
        <f>(manip_pt_pc!E8)/E54</f>
        <v>0.8334815219904759</v>
      </c>
      <c r="F87" s="87">
        <f>(manip_pt_pc!F8)/F54</f>
        <v>0.7532230375551778</v>
      </c>
      <c r="G87" s="87">
        <f>(manip_pt_pc!G8)/G54</f>
        <v>0.7798683551564856</v>
      </c>
      <c r="H87" s="87">
        <f>(manip_pt_pc!H8)/H54</f>
        <v>0.8559446675516037</v>
      </c>
      <c r="I87" s="87">
        <f>(manip_pt_pc!I8)/I54</f>
        <v>0.7753067778669973</v>
      </c>
      <c r="J87" s="87">
        <f>(manip_pt_pc!J8)/J54</f>
        <v>0.8186265188540016</v>
      </c>
      <c r="K87" s="87">
        <f>(manip_pt_pc!K8)/K54</f>
        <v>0.8697296275288334</v>
      </c>
      <c r="L87" s="87">
        <f>(manip_pt_pc!L8)/L54</f>
        <v>0.8510455987192346</v>
      </c>
      <c r="M87" s="87">
        <f>(manip_pt_pc!M8)/M54</f>
        <v>0.7716236118228169</v>
      </c>
      <c r="N87" s="87">
        <f>(manip_pt_pc!N8)/N54</f>
        <v>0.7636211924501726</v>
      </c>
      <c r="O87" s="87">
        <f>(manip_pt_pc!O8)/O54</f>
        <v>0.8097206837483885</v>
      </c>
      <c r="P87" s="87">
        <f>(manip_pt_pc!P8)/P54</f>
        <v>0.837030440578953</v>
      </c>
      <c r="Q87" s="87">
        <f>(manip_pt_pc!Q8)/Q54</f>
        <v>0.8814659269360857</v>
      </c>
      <c r="T87" s="125"/>
      <c r="U87" s="125"/>
      <c r="V87" s="125"/>
      <c r="W87" s="125"/>
      <c r="X87" s="125"/>
      <c r="BC87" s="53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U87" s="53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</row>
    <row r="88" spans="1:89" ht="11.25">
      <c r="A88" s="53">
        <v>1995</v>
      </c>
      <c r="B88" s="87">
        <f>(manip_pt_pc!B9)/B55</f>
        <v>0.8354770359443634</v>
      </c>
      <c r="C88" s="87">
        <f>(manip_pt_pc!C9)/C55</f>
        <v>0.8309675439269547</v>
      </c>
      <c r="D88" s="87">
        <f>(manip_pt_pc!D9)/D55</f>
        <v>0.800634715006501</v>
      </c>
      <c r="E88" s="87">
        <f>(manip_pt_pc!E9)/E55</f>
        <v>0.8229687158143204</v>
      </c>
      <c r="F88" s="87">
        <f>(manip_pt_pc!F9)/F55</f>
        <v>0.7567145538624553</v>
      </c>
      <c r="G88" s="87">
        <f>(manip_pt_pc!G9)/G55</f>
        <v>0.7822108420462496</v>
      </c>
      <c r="H88" s="87">
        <f>(manip_pt_pc!H9)/H55</f>
        <v>0.867721811147355</v>
      </c>
      <c r="I88" s="87">
        <f>(manip_pt_pc!I9)/I55</f>
        <v>0.7808065630830281</v>
      </c>
      <c r="J88" s="87">
        <f>(manip_pt_pc!J9)/J55</f>
        <v>0.8181798012407109</v>
      </c>
      <c r="K88" s="87">
        <f>(manip_pt_pc!K9)/K55</f>
        <v>0.7983692882622728</v>
      </c>
      <c r="L88" s="87">
        <f>(manip_pt_pc!L9)/L55</f>
        <v>0.8566856060903645</v>
      </c>
      <c r="M88" s="87">
        <f>(manip_pt_pc!M9)/M55</f>
        <v>0.7703523876885607</v>
      </c>
      <c r="N88" s="87">
        <f>(manip_pt_pc!N9)/N55</f>
        <v>0.781184079641488</v>
      </c>
      <c r="O88" s="87">
        <f>(manip_pt_pc!O9)/O55</f>
        <v>0.8082089589995434</v>
      </c>
      <c r="P88" s="87">
        <f>(manip_pt_pc!P9)/P55</f>
        <v>0.837079330049344</v>
      </c>
      <c r="Q88" s="87">
        <f>(manip_pt_pc!Q9)/Q55</f>
        <v>0.8803625493688779</v>
      </c>
      <c r="T88" s="125"/>
      <c r="U88" s="125"/>
      <c r="V88" s="125"/>
      <c r="W88" s="125"/>
      <c r="X88" s="125"/>
      <c r="BC88" s="53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U88" s="53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</row>
    <row r="89" spans="1:89" ht="11.25">
      <c r="A89" s="53">
        <v>1996</v>
      </c>
      <c r="B89" s="87">
        <f>(manip_pt_pc!B10)/B56</f>
        <v>0.8346911620656843</v>
      </c>
      <c r="C89" s="87">
        <f>(manip_pt_pc!C10)/C56</f>
        <v>0.8312005288225225</v>
      </c>
      <c r="D89" s="87">
        <f>(manip_pt_pc!D10)/D56</f>
        <v>0.7977361679388044</v>
      </c>
      <c r="E89" s="87">
        <f>(manip_pt_pc!E10)/E56</f>
        <v>0.8225990655700098</v>
      </c>
      <c r="F89" s="87">
        <f>(manip_pt_pc!F10)/F56</f>
        <v>0.7680872371816873</v>
      </c>
      <c r="G89" s="87">
        <f>(manip_pt_pc!G10)/G56</f>
        <v>0.7896442631875862</v>
      </c>
      <c r="H89" s="87">
        <f>(manip_pt_pc!H10)/H56</f>
        <v>0.863414476660496</v>
      </c>
      <c r="I89" s="87">
        <f>(manip_pt_pc!I10)/I56</f>
        <v>0.7902279218819086</v>
      </c>
      <c r="J89" s="87">
        <f>(manip_pt_pc!J10)/J56</f>
        <v>0.8177796526998786</v>
      </c>
      <c r="K89" s="87">
        <f>(manip_pt_pc!K10)/K56</f>
        <v>0.8021390374331551</v>
      </c>
      <c r="L89" s="87">
        <f>(manip_pt_pc!L10)/L56</f>
        <v>0.8578391761640948</v>
      </c>
      <c r="M89" s="87">
        <f>(manip_pt_pc!M10)/M56</f>
        <v>0.746397617553336</v>
      </c>
      <c r="N89" s="87">
        <f>(manip_pt_pc!N10)/N56</f>
        <v>0.7970925445579262</v>
      </c>
      <c r="O89" s="87">
        <f>(manip_pt_pc!O10)/O56</f>
        <v>0.806672513335145</v>
      </c>
      <c r="P89" s="87">
        <f>(manip_pt_pc!P10)/P56</f>
        <v>0.8349526519758409</v>
      </c>
      <c r="Q89" s="87">
        <f>(manip_pt_pc!Q10)/Q56</f>
        <v>0.8791980182006177</v>
      </c>
      <c r="T89" s="125"/>
      <c r="U89" s="125"/>
      <c r="V89" s="125"/>
      <c r="W89" s="125"/>
      <c r="X89" s="125"/>
      <c r="BC89" s="53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U89" s="53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</row>
    <row r="90" spans="1:89" ht="11.25">
      <c r="A90" s="53">
        <v>1997</v>
      </c>
      <c r="B90" s="87">
        <f>(manip_pt_pc!B11)/B57</f>
        <v>0.8338291561980942</v>
      </c>
      <c r="C90" s="87">
        <f>(manip_pt_pc!C11)/C57</f>
        <v>0.8305169817634265</v>
      </c>
      <c r="D90" s="87">
        <f>(manip_pt_pc!D11)/D57</f>
        <v>0.7996992121294472</v>
      </c>
      <c r="E90" s="87">
        <f>(manip_pt_pc!E11)/E57</f>
        <v>0.8259737211988702</v>
      </c>
      <c r="F90" s="87">
        <f>(manip_pt_pc!F11)/F57</f>
        <v>0.770950289841402</v>
      </c>
      <c r="G90" s="87">
        <f>(manip_pt_pc!G11)/G57</f>
        <v>0.775132926517295</v>
      </c>
      <c r="H90" s="87">
        <f>(manip_pt_pc!H11)/H57</f>
        <v>0.8546623247557021</v>
      </c>
      <c r="I90" s="87">
        <f>(manip_pt_pc!I11)/I57</f>
        <v>0.7959780959751618</v>
      </c>
      <c r="J90" s="87">
        <f>(manip_pt_pc!J11)/J57</f>
        <v>0.8195700683343551</v>
      </c>
      <c r="K90" s="87">
        <f>(manip_pt_pc!K11)/K57</f>
        <v>0.8039376538146021</v>
      </c>
      <c r="L90" s="87">
        <f>(manip_pt_pc!L11)/L57</f>
        <v>0.8601134215500946</v>
      </c>
      <c r="M90" s="87">
        <f>(manip_pt_pc!M11)/M57</f>
        <v>0.7630813063701402</v>
      </c>
      <c r="N90" s="87">
        <f>(manip_pt_pc!N11)/N57</f>
        <v>0.8135628932033923</v>
      </c>
      <c r="O90" s="87">
        <f>(manip_pt_pc!O11)/O57</f>
        <v>0.8062046504058968</v>
      </c>
      <c r="P90" s="87">
        <f>(manip_pt_pc!P11)/P57</f>
        <v>0.8288718480817034</v>
      </c>
      <c r="Q90" s="87">
        <f>(manip_pt_pc!Q11)/Q57</f>
        <v>0.8798746971303629</v>
      </c>
      <c r="T90" s="125"/>
      <c r="U90" s="125"/>
      <c r="V90" s="125"/>
      <c r="W90" s="125"/>
      <c r="X90" s="125"/>
      <c r="BC90" s="53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U90" s="53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</row>
    <row r="91" spans="1:89" ht="11.25">
      <c r="A91" s="53">
        <v>1998</v>
      </c>
      <c r="B91" s="87">
        <f>(manip_pt_pc!B12)/B58</f>
        <v>0.8366648251780756</v>
      </c>
      <c r="C91" s="87">
        <f>(manip_pt_pc!C12)/C58</f>
        <v>0.8322474647328764</v>
      </c>
      <c r="D91" s="87">
        <f>(manip_pt_pc!D12)/D58</f>
        <v>0.8010699459208729</v>
      </c>
      <c r="E91" s="87">
        <f>(manip_pt_pc!E12)/E58</f>
        <v>0.8281374767591502</v>
      </c>
      <c r="F91" s="87">
        <f>(manip_pt_pc!F12)/F58</f>
        <v>0.789675244117905</v>
      </c>
      <c r="G91" s="87">
        <f>(manip_pt_pc!G12)/G58</f>
        <v>0.8009217343709208</v>
      </c>
      <c r="H91" s="87">
        <f>(manip_pt_pc!H12)/H58</f>
        <v>0.8545214902351596</v>
      </c>
      <c r="I91" s="87">
        <f>(manip_pt_pc!I12)/I58</f>
        <v>0.7985585821455078</v>
      </c>
      <c r="J91" s="87">
        <f>(manip_pt_pc!J12)/J58</f>
        <v>0.8264820524890057</v>
      </c>
      <c r="K91" s="87">
        <f>(manip_pt_pc!K12)/K58</f>
        <v>0.8071025020177562</v>
      </c>
      <c r="L91" s="87">
        <f>(manip_pt_pc!L12)/L58</f>
        <v>0.857947434292866</v>
      </c>
      <c r="M91" s="87">
        <f>(manip_pt_pc!M12)/M58</f>
        <v>0.7649222170697607</v>
      </c>
      <c r="N91" s="87">
        <f>(manip_pt_pc!N12)/N58</f>
        <v>0.8129668732452052</v>
      </c>
      <c r="O91" s="87">
        <f>(manip_pt_pc!O12)/O58</f>
        <v>0.8109736388225892</v>
      </c>
      <c r="P91" s="87">
        <f>(manip_pt_pc!P12)/P58</f>
        <v>0.8258865327890023</v>
      </c>
      <c r="Q91" s="87">
        <f>(manip_pt_pc!Q12)/Q58</f>
        <v>0.8773167297914982</v>
      </c>
      <c r="T91" s="125"/>
      <c r="U91" s="125"/>
      <c r="V91" s="125"/>
      <c r="W91" s="125"/>
      <c r="X91" s="125"/>
      <c r="BC91" s="53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U91" s="53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</row>
    <row r="92" spans="1:24" ht="11.25">
      <c r="A92" s="53">
        <v>1999</v>
      </c>
      <c r="B92" s="87">
        <f>(manip_pt_pc!B13)/B59</f>
        <v>0.8359959469036164</v>
      </c>
      <c r="C92" s="87">
        <f>(manip_pt_pc!C13)/C59</f>
        <v>0.8343268634651152</v>
      </c>
      <c r="D92" s="87">
        <f>(manip_pt_pc!D13)/D59</f>
        <v>0.80506358399488</v>
      </c>
      <c r="E92" s="87">
        <f>(manip_pt_pc!E13)/E59</f>
        <v>0.827421639661058</v>
      </c>
      <c r="F92" s="87">
        <f>(manip_pt_pc!F13)/F59</f>
        <v>0.7947320326816724</v>
      </c>
      <c r="G92" s="87">
        <f>(manip_pt_pc!G13)/G59</f>
        <v>0.7957914559403504</v>
      </c>
      <c r="H92" s="87">
        <f>(manip_pt_pc!H13)/H59</f>
        <v>0.8552339345549249</v>
      </c>
      <c r="I92" s="87">
        <f>(manip_pt_pc!I13)/I59</f>
        <v>0.8066413330981411</v>
      </c>
      <c r="J92" s="87">
        <f>(manip_pt_pc!J13)/J59</f>
        <v>0.8251796636675727</v>
      </c>
      <c r="K92" s="87">
        <f>(manip_pt_pc!K13)/K59</f>
        <v>0.8051529790660226</v>
      </c>
      <c r="L92" s="87">
        <f>(manip_pt_pc!L13)/L59</f>
        <v>0.8626373626373627</v>
      </c>
      <c r="M92" s="87">
        <f>(manip_pt_pc!M13)/M59</f>
        <v>0.766638973963285</v>
      </c>
      <c r="N92" s="87">
        <f>(manip_pt_pc!N13)/N59</f>
        <v>0.8267748355637561</v>
      </c>
      <c r="O92" s="87">
        <f>(manip_pt_pc!O13)/O59</f>
        <v>0.8178769000218934</v>
      </c>
      <c r="P92" s="87">
        <f>(manip_pt_pc!P13)/P59</f>
        <v>0.8234387168766043</v>
      </c>
      <c r="Q92" s="87">
        <f>(manip_pt_pc!Q13)/Q59</f>
        <v>0.873824981139114</v>
      </c>
      <c r="T92" s="125"/>
      <c r="U92" s="125"/>
      <c r="V92" s="125"/>
      <c r="W92" s="125"/>
      <c r="X92" s="125"/>
    </row>
    <row r="93" spans="1:71" ht="11.25">
      <c r="A93" s="53">
        <v>2000</v>
      </c>
      <c r="B93" s="87">
        <f>(manip_pt_pc!B14)/B60</f>
        <v>0.8310575511876931</v>
      </c>
      <c r="C93" s="87">
        <f>(manip_pt_pc!C14)/C60</f>
        <v>0.8353272675754809</v>
      </c>
      <c r="D93" s="87">
        <f>(manip_pt_pc!D14)/D60</f>
        <v>0.8010514850763447</v>
      </c>
      <c r="E93" s="87">
        <f>(manip_pt_pc!E14)/E60</f>
        <v>0.8184471977696393</v>
      </c>
      <c r="F93" s="87">
        <f>(manip_pt_pc!F14)/F60</f>
        <v>0.7950984311240431</v>
      </c>
      <c r="G93" s="87">
        <f>(manip_pt_pc!G14)/G60</f>
        <v>0.7875743195820593</v>
      </c>
      <c r="H93" s="87">
        <f>(manip_pt_pc!H14)/H60</f>
        <v>0.8489060245377767</v>
      </c>
      <c r="I93" s="87">
        <f>(manip_pt_pc!I14)/I60</f>
        <v>0.8069720656081799</v>
      </c>
      <c r="J93" s="87">
        <f>(manip_pt_pc!J14)/J60</f>
        <v>0.8211050139786006</v>
      </c>
      <c r="K93" s="87">
        <f>(manip_pt_pc!K14)/K60</f>
        <v>0.8145213868106659</v>
      </c>
      <c r="L93" s="87">
        <f>(manip_pt_pc!L14)/L60</f>
        <v>0.8603658536585366</v>
      </c>
      <c r="M93" s="87">
        <f>(manip_pt_pc!M14)/M60</f>
        <v>0.7666038786943521</v>
      </c>
      <c r="N93" s="87">
        <f>(manip_pt_pc!N14)/N60</f>
        <v>0.8281312529838789</v>
      </c>
      <c r="O93" s="87">
        <f>(manip_pt_pc!O14)/O60</f>
        <v>0.8180505362247832</v>
      </c>
      <c r="P93" s="87">
        <f>(manip_pt_pc!P14)/P60</f>
        <v>0.8183420533738835</v>
      </c>
      <c r="Q93" s="87">
        <f>(manip_pt_pc!Q14)/Q60</f>
        <v>0.8728527961824374</v>
      </c>
      <c r="BC93" s="31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1:71" ht="11.25">
      <c r="A94" s="53">
        <v>2001</v>
      </c>
      <c r="B94" s="87" t="e">
        <f>(manip_pt_pc!B15)/B61</f>
        <v>#N/A</v>
      </c>
      <c r="C94" s="87" t="e">
        <f>(manip_pt_pc!C15)/C61</f>
        <v>#N/A</v>
      </c>
      <c r="D94" s="87" t="e">
        <f>(manip_pt_pc!D15)/D61</f>
        <v>#N/A</v>
      </c>
      <c r="E94" s="87" t="e">
        <f>(manip_pt_pc!E15)/E61</f>
        <v>#N/A</v>
      </c>
      <c r="F94" s="87" t="e">
        <f>(manip_pt_pc!F15)/F61</f>
        <v>#N/A</v>
      </c>
      <c r="G94" s="87" t="e">
        <f>(manip_pt_pc!G15)/G61</f>
        <v>#N/A</v>
      </c>
      <c r="H94" s="87" t="e">
        <f>(manip_pt_pc!H15)/H61</f>
        <v>#N/A</v>
      </c>
      <c r="I94" s="87" t="e">
        <f>(manip_pt_pc!I15)/I61</f>
        <v>#N/A</v>
      </c>
      <c r="J94" s="87" t="e">
        <f>(manip_pt_pc!J15)/J61</f>
        <v>#N/A</v>
      </c>
      <c r="K94" s="87" t="e">
        <f>(manip_pt_pc!K15)/K61</f>
        <v>#N/A</v>
      </c>
      <c r="L94" s="87" t="e">
        <f>(manip_pt_pc!L15)/L61</f>
        <v>#N/A</v>
      </c>
      <c r="M94" s="87" t="e">
        <f>(manip_pt_pc!M15)/M61</f>
        <v>#N/A</v>
      </c>
      <c r="N94" s="87" t="e">
        <f>(manip_pt_pc!N15)/N61</f>
        <v>#N/A</v>
      </c>
      <c r="O94" s="87" t="e">
        <f>(manip_pt_pc!O15)/O61</f>
        <v>#N/A</v>
      </c>
      <c r="P94" s="87" t="e">
        <f>(manip_pt_pc!P15)/P61</f>
        <v>#N/A</v>
      </c>
      <c r="Q94" s="87" t="e">
        <f>(manip_pt_pc!Q15)/Q61</f>
        <v>#N/A</v>
      </c>
      <c r="BC94" s="3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</row>
    <row r="96" spans="1:89" ht="11.25">
      <c r="A96" s="31" t="s">
        <v>111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BU96" s="2"/>
      <c r="BV96" s="52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</row>
    <row r="97" spans="1:89" ht="11.25">
      <c r="A97" s="31"/>
      <c r="B97" s="111">
        <f>+B92/B84-1</f>
        <v>0.010154076591758265</v>
      </c>
      <c r="C97" s="111">
        <f aca="true" t="shared" si="3" ref="C97:Q97">+C92/C84-1</f>
        <v>0.015191616943180275</v>
      </c>
      <c r="D97" s="111">
        <f t="shared" si="3"/>
        <v>-0.008269146576264208</v>
      </c>
      <c r="E97" s="111">
        <f t="shared" si="3"/>
        <v>-0.0038447432536421466</v>
      </c>
      <c r="F97" s="111">
        <f t="shared" si="3"/>
        <v>0.12047179166846766</v>
      </c>
      <c r="G97" s="111">
        <f t="shared" si="3"/>
        <v>0.03678378750636169</v>
      </c>
      <c r="H97" s="111">
        <f t="shared" si="3"/>
        <v>0.017383427774038562</v>
      </c>
      <c r="I97" s="111">
        <f t="shared" si="3"/>
        <v>0.03566785586198895</v>
      </c>
      <c r="J97" s="111">
        <f t="shared" si="3"/>
        <v>0.02794844637119276</v>
      </c>
      <c r="K97" s="111">
        <f t="shared" si="3"/>
        <v>-0.0644331898307543</v>
      </c>
      <c r="L97" s="111">
        <f t="shared" si="3"/>
        <v>0.02475145107904142</v>
      </c>
      <c r="M97" s="111">
        <f t="shared" si="3"/>
        <v>-0.033206596021636</v>
      </c>
      <c r="N97" s="111">
        <f t="shared" si="3"/>
        <v>0.15627702782691877</v>
      </c>
      <c r="O97" s="111">
        <f t="shared" si="3"/>
        <v>0.03053046405130133</v>
      </c>
      <c r="P97" s="111">
        <f t="shared" si="3"/>
        <v>-0.026585034333253654</v>
      </c>
      <c r="Q97" s="111">
        <f t="shared" si="3"/>
        <v>-0.003838239290870571</v>
      </c>
      <c r="BC97" s="2"/>
      <c r="BU97" s="29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46"/>
    </row>
    <row r="98" spans="55:89" ht="11.25">
      <c r="BC98" s="29"/>
      <c r="BU98" s="29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46"/>
    </row>
    <row r="99" spans="55:89" ht="11.25">
      <c r="BC99" s="2"/>
      <c r="BU99" s="31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46"/>
    </row>
    <row r="100" spans="55:89" ht="11.25"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</row>
    <row r="101" spans="55:89" ht="11.25" customHeight="1" hidden="1" outlineLevel="1">
      <c r="BC101" s="53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U101" s="53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</row>
    <row r="102" spans="55:89" ht="11.25" customHeight="1" hidden="1" outlineLevel="1">
      <c r="BC102" s="53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U102" s="53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</row>
    <row r="103" spans="55:89" ht="11.25" customHeight="1" hidden="1" outlineLevel="1">
      <c r="BC103" s="53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U103" s="53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</row>
    <row r="104" spans="55:89" ht="11.25" customHeight="1" hidden="1" outlineLevel="1">
      <c r="BC104" s="53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U104" s="53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</row>
    <row r="105" spans="55:89" ht="11.25" customHeight="1" hidden="1" outlineLevel="1">
      <c r="BC105" s="53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U105" s="53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</row>
    <row r="106" spans="55:89" ht="11.25" customHeight="1" hidden="1" outlineLevel="1">
      <c r="BC106" s="53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U106" s="53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</row>
    <row r="107" spans="55:89" ht="11.25" customHeight="1" hidden="1" outlineLevel="1">
      <c r="BC107" s="53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U107" s="53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</row>
    <row r="108" spans="55:89" ht="11.25" customHeight="1" hidden="1" outlineLevel="1">
      <c r="BC108" s="53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U108" s="53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</row>
    <row r="109" spans="55:89" ht="11.25" customHeight="1" hidden="1" outlineLevel="1">
      <c r="BC109" s="53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U109" s="53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</row>
    <row r="110" spans="55:89" ht="11.25" customHeight="1" hidden="1" outlineLevel="1">
      <c r="BC110" s="53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U110" s="53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</row>
    <row r="111" spans="55:89" ht="11.25" customHeight="1" hidden="1" outlineLevel="1">
      <c r="BC111" s="53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U111" s="53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</row>
    <row r="112" spans="55:89" ht="11.25" collapsed="1">
      <c r="BC112" s="53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U112" s="53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</row>
    <row r="113" spans="1:89" ht="11.25">
      <c r="A113" s="2" t="s">
        <v>243</v>
      </c>
      <c r="BC113" s="53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U113" s="53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</row>
    <row r="114" spans="2:89" ht="11.25">
      <c r="B114" s="120" t="s">
        <v>5</v>
      </c>
      <c r="C114" s="120" t="s">
        <v>7</v>
      </c>
      <c r="D114" s="120" t="s">
        <v>8</v>
      </c>
      <c r="E114" s="120" t="s">
        <v>9</v>
      </c>
      <c r="F114" s="120" t="s">
        <v>10</v>
      </c>
      <c r="G114" s="120" t="s">
        <v>11</v>
      </c>
      <c r="H114" s="120" t="s">
        <v>12</v>
      </c>
      <c r="I114" s="120" t="s">
        <v>13</v>
      </c>
      <c r="J114" s="120" t="s">
        <v>14</v>
      </c>
      <c r="K114" s="120" t="s">
        <v>15</v>
      </c>
      <c r="L114" s="120" t="s">
        <v>16</v>
      </c>
      <c r="M114" s="120" t="s">
        <v>17</v>
      </c>
      <c r="N114" s="120" t="s">
        <v>18</v>
      </c>
      <c r="O114" s="120" t="s">
        <v>19</v>
      </c>
      <c r="P114" s="120" t="s">
        <v>20</v>
      </c>
      <c r="Q114" s="120" t="s">
        <v>21</v>
      </c>
      <c r="BC114" s="53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U114" s="53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</row>
    <row r="115" spans="1:89" ht="11.25">
      <c r="A115" s="53">
        <v>1991</v>
      </c>
      <c r="B115" s="296">
        <f>+manip_pt_air_dom!B5/country_split!B51</f>
        <v>0.007444175622197597</v>
      </c>
      <c r="C115" s="296">
        <f>+manip_pt_air_dom!C5/country_split!C51</f>
        <v>0</v>
      </c>
      <c r="D115" s="296">
        <f>+manip_pt_air_dom!D5/country_split!D51</f>
        <v>0.01345013062206185</v>
      </c>
      <c r="E115" s="296">
        <f>+manip_pt_air_dom!E5/country_split!E51</f>
        <v>0.004838325485998183</v>
      </c>
      <c r="F115" s="296">
        <f>+manip_pt_air_dom!F5/country_split!F51</f>
        <v>0.03480340088733449</v>
      </c>
      <c r="G115" s="296">
        <f>+manip_pt_air_dom!G5/country_split!G51</f>
        <v>0.020594601422171007</v>
      </c>
      <c r="H115" s="296">
        <f>+manip_pt_air_dom!H5/country_split!H51</f>
        <v>0.011767229949285082</v>
      </c>
      <c r="I115" s="296">
        <f>+manip_pt_air_dom!I5/country_split!I51</f>
        <v>0.0024899619214031055</v>
      </c>
      <c r="J115" s="296">
        <f>+manip_pt_air_dom!J5/country_split!J51</f>
        <v>0.002730897728671076</v>
      </c>
      <c r="K115" s="296">
        <f>+manip_pt_air_dom!K5/country_split!K51</f>
        <v>0</v>
      </c>
      <c r="L115" s="296">
        <f>+manip_pt_air_dom!L5/country_split!L51</f>
        <v>1.4131447751946979E-05</v>
      </c>
      <c r="M115" s="296">
        <f>+manip_pt_air_dom!M5/country_split!M51</f>
        <v>6.983549977696569E-07</v>
      </c>
      <c r="N115" s="296">
        <f>+manip_pt_air_dom!N5/country_split!N51</f>
        <v>0.013655220342839867</v>
      </c>
      <c r="O115" s="296">
        <f>+manip_pt_air_dom!O5/country_split!O51</f>
        <v>0.012560071685436295</v>
      </c>
      <c r="P115" s="296">
        <f>+manip_pt_air_dom!P5/country_split!P51</f>
        <v>0.020760141269356013</v>
      </c>
      <c r="Q115" s="296">
        <f>+manip_pt_air_dom!Q5/country_split!Q51</f>
        <v>0.0053970720909453694</v>
      </c>
      <c r="BC115" s="53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U115" s="53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</row>
    <row r="116" spans="1:89" ht="11.25">
      <c r="A116" s="53">
        <v>1992</v>
      </c>
      <c r="B116" s="296">
        <f>+manip_pt_air_dom!B6/country_split!B52</f>
        <v>0.00793331447718562</v>
      </c>
      <c r="C116" s="296">
        <f>+manip_pt_air_dom!C6/country_split!C52</f>
        <v>0</v>
      </c>
      <c r="D116" s="296">
        <f>+manip_pt_air_dom!D6/country_split!D52</f>
        <v>0.013255624928834165</v>
      </c>
      <c r="E116" s="296">
        <f>+manip_pt_air_dom!E6/country_split!E52</f>
        <v>0.005329397310914724</v>
      </c>
      <c r="F116" s="296">
        <f>+manip_pt_air_dom!F6/country_split!F52</f>
        <v>0.03517673403241605</v>
      </c>
      <c r="G116" s="296">
        <f>+manip_pt_air_dom!G6/country_split!G52</f>
        <v>0.024172007904416135</v>
      </c>
      <c r="H116" s="296">
        <f>+manip_pt_air_dom!H6/country_split!H52</f>
        <v>0.010006903550742555</v>
      </c>
      <c r="I116" s="296">
        <f>+manip_pt_air_dom!I6/country_split!I52</f>
        <v>0.0023906228027363945</v>
      </c>
      <c r="J116" s="296">
        <f>+manip_pt_air_dom!J6/country_split!J52</f>
        <v>0.0028117397670709855</v>
      </c>
      <c r="K116" s="296">
        <f>+manip_pt_air_dom!K6/country_split!K52</f>
        <v>0</v>
      </c>
      <c r="L116" s="296">
        <f>+manip_pt_air_dom!L6/country_split!L52</f>
        <v>0</v>
      </c>
      <c r="M116" s="296">
        <f>+manip_pt_air_dom!M6/country_split!M52</f>
        <v>1.0629745234181995E-06</v>
      </c>
      <c r="N116" s="296">
        <f>+manip_pt_air_dom!N6/country_split!N52</f>
        <v>0.012708768765398604</v>
      </c>
      <c r="O116" s="296">
        <f>+manip_pt_air_dom!O6/country_split!O52</f>
        <v>0.011119415653427582</v>
      </c>
      <c r="P116" s="296">
        <f>+manip_pt_air_dom!P6/country_split!P52</f>
        <v>0.02055570256290081</v>
      </c>
      <c r="Q116" s="296">
        <f>+manip_pt_air_dom!Q6/country_split!Q52</f>
        <v>0.008395888392611751</v>
      </c>
      <c r="BC116" s="53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U116" s="53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</row>
    <row r="117" spans="1:89" ht="11.25">
      <c r="A117" s="53">
        <v>1993</v>
      </c>
      <c r="B117" s="296">
        <f>+manip_pt_air_dom!B7/country_split!B53</f>
        <v>0.008119942984843986</v>
      </c>
      <c r="C117" s="296">
        <f>+manip_pt_air_dom!C7/country_split!C53</f>
        <v>0</v>
      </c>
      <c r="D117" s="296">
        <f>+manip_pt_air_dom!D7/country_split!D53</f>
        <v>0.018928298413415298</v>
      </c>
      <c r="E117" s="296">
        <f>+manip_pt_air_dom!E7/country_split!E53</f>
        <v>0.0056411492051912935</v>
      </c>
      <c r="F117" s="296">
        <f>+manip_pt_air_dom!F7/country_split!F53</f>
        <v>0.03172633152726885</v>
      </c>
      <c r="G117" s="296">
        <f>+manip_pt_air_dom!G7/country_split!G53</f>
        <v>0.02097715457450188</v>
      </c>
      <c r="H117" s="296">
        <f>+manip_pt_air_dom!H7/country_split!H53</f>
        <v>0.009693148459079311</v>
      </c>
      <c r="I117" s="296">
        <f>+manip_pt_air_dom!I7/country_split!I53</f>
        <v>0.001964650226920167</v>
      </c>
      <c r="J117" s="296">
        <f>+manip_pt_air_dom!J7/country_split!J53</f>
        <v>0.002558395240146275</v>
      </c>
      <c r="K117" s="296">
        <f>+manip_pt_air_dom!K7/country_split!K53</f>
        <v>0</v>
      </c>
      <c r="L117" s="296">
        <f>+manip_pt_air_dom!L7/country_split!L53</f>
        <v>1.9225771496919375E-05</v>
      </c>
      <c r="M117" s="296">
        <f>+manip_pt_air_dom!M7/country_split!M53</f>
        <v>8.54213393325689E-07</v>
      </c>
      <c r="N117" s="296">
        <f>+manip_pt_air_dom!N7/country_split!N53</f>
        <v>0.012553640104507614</v>
      </c>
      <c r="O117" s="296">
        <f>+manip_pt_air_dom!O7/country_split!O53</f>
        <v>0.009867966357333655</v>
      </c>
      <c r="P117" s="296">
        <f>+manip_pt_air_dom!P7/country_split!P53</f>
        <v>0.029759485241973138</v>
      </c>
      <c r="Q117" s="296">
        <f>+manip_pt_air_dom!Q7/country_split!Q53</f>
        <v>0.009064981197105786</v>
      </c>
      <c r="BC117" s="53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U117" s="53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</row>
    <row r="118" spans="1:89" ht="11.25">
      <c r="A118" s="53">
        <v>1994</v>
      </c>
      <c r="B118" s="296">
        <f>+manip_pt_air_dom!B8/country_split!B54</f>
        <v>0.008264776230177993</v>
      </c>
      <c r="C118" s="296">
        <f>+manip_pt_air_dom!C8/country_split!C54</f>
        <v>0</v>
      </c>
      <c r="D118" s="296">
        <f>+manip_pt_air_dom!D8/country_split!D54</f>
        <v>0.01820767163231282</v>
      </c>
      <c r="E118" s="296">
        <f>+manip_pt_air_dom!E8/country_split!E54</f>
        <v>0.005644839366346553</v>
      </c>
      <c r="F118" s="296">
        <f>+manip_pt_air_dom!F8/country_split!F54</f>
        <v>0.0303228445023451</v>
      </c>
      <c r="G118" s="296">
        <f>+manip_pt_air_dom!G8/country_split!G54</f>
        <v>0.018733185024599693</v>
      </c>
      <c r="H118" s="296">
        <f>+manip_pt_air_dom!H8/country_split!H54</f>
        <v>0.010474336327489644</v>
      </c>
      <c r="I118" s="296">
        <f>+manip_pt_air_dom!I8/country_split!I54</f>
        <v>0.002059257479452059</v>
      </c>
      <c r="J118" s="296">
        <f>+manip_pt_air_dom!J8/country_split!J54</f>
        <v>0.003233644876758076</v>
      </c>
      <c r="K118" s="296">
        <f>+manip_pt_air_dom!K8/country_split!K54</f>
        <v>0</v>
      </c>
      <c r="L118" s="296">
        <f>+manip_pt_air_dom!L8/country_split!L54</f>
        <v>2.8029001783905223E-05</v>
      </c>
      <c r="M118" s="296">
        <f>+manip_pt_air_dom!M8/country_split!M54</f>
        <v>1.2004291087155552E-05</v>
      </c>
      <c r="N118" s="296">
        <f>+manip_pt_air_dom!N8/country_split!N54</f>
        <v>0.012857325997443722</v>
      </c>
      <c r="O118" s="296">
        <f>+manip_pt_air_dom!O8/country_split!O54</f>
        <v>0.010100139103809963</v>
      </c>
      <c r="P118" s="296">
        <f>+manip_pt_air_dom!P8/country_split!P54</f>
        <v>0.028643166645485166</v>
      </c>
      <c r="Q118" s="296">
        <f>+manip_pt_air_dom!Q8/country_split!Q54</f>
        <v>0.009208434410081599</v>
      </c>
      <c r="BC118" s="53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U118" s="53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</row>
    <row r="119" spans="1:89" ht="11.25">
      <c r="A119" s="53">
        <v>1995</v>
      </c>
      <c r="B119" s="296">
        <f>+manip_pt_air_dom!B9/country_split!B55</f>
        <v>0.006992778523497096</v>
      </c>
      <c r="C119" s="296">
        <f>+manip_pt_air_dom!C9/country_split!C55</f>
        <v>0</v>
      </c>
      <c r="D119" s="296">
        <f>+manip_pt_air_dom!D9/country_split!D55</f>
        <v>0.016815490845174773</v>
      </c>
      <c r="E119" s="296">
        <f>+manip_pt_air_dom!E9/country_split!E55</f>
        <v>0.005772612743453672</v>
      </c>
      <c r="F119" s="296">
        <f>+manip_pt_air_dom!F9/country_split!F55</f>
        <v>0.03080894579192919</v>
      </c>
      <c r="G119" s="296">
        <f>+manip_pt_air_dom!G9/country_split!G55</f>
        <v>0.014560988994995529</v>
      </c>
      <c r="H119" s="296">
        <f>+manip_pt_air_dom!H9/country_split!H55</f>
        <v>0.0005636843431771142</v>
      </c>
      <c r="I119" s="296">
        <f>+manip_pt_air_dom!I9/country_split!I55</f>
        <v>0.0024186492955155956</v>
      </c>
      <c r="J119" s="296">
        <f>+manip_pt_air_dom!J9/country_split!J55</f>
        <v>0.007451895109714972</v>
      </c>
      <c r="K119" s="296">
        <f>+manip_pt_air_dom!K9/country_split!K55</f>
        <v>0</v>
      </c>
      <c r="L119" s="296">
        <f>+manip_pt_air_dom!L9/country_split!L55</f>
        <v>3.144440394348423E-05</v>
      </c>
      <c r="M119" s="296">
        <f>+manip_pt_air_dom!M9/country_split!M55</f>
        <v>1.2465907947618121E-05</v>
      </c>
      <c r="N119" s="296">
        <f>+manip_pt_air_dom!N9/country_split!N55</f>
        <v>0.014159902935715217</v>
      </c>
      <c r="O119" s="296">
        <f>+manip_pt_air_dom!O9/country_split!O55</f>
        <v>0.011010861051438798</v>
      </c>
      <c r="P119" s="296">
        <f>+manip_pt_air_dom!P9/country_split!P55</f>
        <v>0.02661847212264622</v>
      </c>
      <c r="Q119" s="296">
        <f>+manip_pt_air_dom!Q9/country_split!Q55</f>
        <v>0.009592131960012266</v>
      </c>
      <c r="BC119" s="53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U119" s="53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</row>
    <row r="120" spans="1:89" ht="11.25">
      <c r="A120" s="53">
        <v>1996</v>
      </c>
      <c r="B120" s="296">
        <f>+manip_pt_air_dom!B10/country_split!B56</f>
        <v>0.0074613098910633075</v>
      </c>
      <c r="C120" s="296">
        <f>+manip_pt_air_dom!C10/country_split!C56</f>
        <v>0</v>
      </c>
      <c r="D120" s="296">
        <f>+manip_pt_air_dom!D10/country_split!D56</f>
        <v>0.01690697442113136</v>
      </c>
      <c r="E120" s="296">
        <f>+manip_pt_air_dom!E10/country_split!E56</f>
        <v>0.005598845844434214</v>
      </c>
      <c r="F120" s="296">
        <f>+manip_pt_air_dom!F10/country_split!F56</f>
        <v>0.029929758767048356</v>
      </c>
      <c r="G120" s="296">
        <f>+manip_pt_air_dom!G10/country_split!G56</f>
        <v>0.01822878377830349</v>
      </c>
      <c r="H120" s="296">
        <f>+manip_pt_air_dom!H10/country_split!H56</f>
        <v>0.000677886112831847</v>
      </c>
      <c r="I120" s="296">
        <f>+manip_pt_air_dom!I10/country_split!I56</f>
        <v>0.0021404787232233943</v>
      </c>
      <c r="J120" s="296">
        <f>+manip_pt_air_dom!J10/country_split!J56</f>
        <v>0.00818263242869124</v>
      </c>
      <c r="K120" s="296">
        <f>+manip_pt_air_dom!K10/country_split!K56</f>
        <v>0</v>
      </c>
      <c r="L120" s="296">
        <f>+manip_pt_air_dom!L10/country_split!L56</f>
        <v>0</v>
      </c>
      <c r="M120" s="296">
        <f>+manip_pt_air_dom!M10/country_split!M56</f>
        <v>3.16849764894407E-05</v>
      </c>
      <c r="N120" s="296">
        <f>+manip_pt_air_dom!N10/country_split!N56</f>
        <v>0.013957887547753846</v>
      </c>
      <c r="O120" s="296">
        <f>+manip_pt_air_dom!O10/country_split!O56</f>
        <v>0.013202636167360603</v>
      </c>
      <c r="P120" s="296">
        <f>+manip_pt_air_dom!P10/country_split!P56</f>
        <v>0.027348357481731086</v>
      </c>
      <c r="Q120" s="296">
        <f>+manip_pt_air_dom!Q10/country_split!Q56</f>
        <v>0.009814113165145945</v>
      </c>
      <c r="BC120" s="53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U120" s="53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</row>
    <row r="121" spans="1:89" ht="11.25">
      <c r="A121" s="53">
        <v>1997</v>
      </c>
      <c r="B121" s="296">
        <f>+manip_pt_air_dom!B11/country_split!B57</f>
        <v>0.009132476744265315</v>
      </c>
      <c r="C121" s="296">
        <f>+manip_pt_air_dom!C11/country_split!C57</f>
        <v>0</v>
      </c>
      <c r="D121" s="296">
        <f>+manip_pt_air_dom!D11/country_split!D57</f>
        <v>0.016617088620686254</v>
      </c>
      <c r="E121" s="296">
        <f>+manip_pt_air_dom!E11/country_split!E57</f>
        <v>0.00540500262301379</v>
      </c>
      <c r="F121" s="296">
        <f>+manip_pt_air_dom!F11/country_split!F57</f>
        <v>0.03161247062676066</v>
      </c>
      <c r="G121" s="296">
        <f>+manip_pt_air_dom!G11/country_split!G57</f>
        <v>0.018848365869464236</v>
      </c>
      <c r="H121" s="296">
        <f>+manip_pt_air_dom!H11/country_split!H57</f>
        <v>0.011114868630314117</v>
      </c>
      <c r="I121" s="296">
        <f>+manip_pt_air_dom!I11/country_split!I57</f>
        <v>0.0017377288594899812</v>
      </c>
      <c r="J121" s="296">
        <f>+manip_pt_air_dom!J11/country_split!J57</f>
        <v>0.009040917395870514</v>
      </c>
      <c r="K121" s="296">
        <f>+manip_pt_air_dom!K11/country_split!K57</f>
        <v>0</v>
      </c>
      <c r="L121" s="296">
        <f>+manip_pt_air_dom!L11/country_split!L57</f>
        <v>0</v>
      </c>
      <c r="M121" s="296">
        <f>+manip_pt_air_dom!M11/country_split!M57</f>
        <v>2.1810458234310722E-05</v>
      </c>
      <c r="N121" s="296">
        <f>+manip_pt_air_dom!N11/country_split!N57</f>
        <v>0.014013345051396836</v>
      </c>
      <c r="O121" s="296">
        <f>+manip_pt_air_dom!O11/country_split!O57</f>
        <v>0.01708274645311118</v>
      </c>
      <c r="P121" s="296">
        <f>+manip_pt_air_dom!P11/country_split!P57</f>
        <v>0.027377874672239212</v>
      </c>
      <c r="Q121" s="296">
        <f>+manip_pt_air_dom!Q11/country_split!Q57</f>
        <v>0.006773367131833013</v>
      </c>
      <c r="BC121" s="53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U121" s="53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</row>
    <row r="122" spans="1:89" ht="11.25">
      <c r="A122" s="53">
        <v>1998</v>
      </c>
      <c r="B122" s="296">
        <f>+manip_pt_air_dom!B12/country_split!B58</f>
        <v>0.009846480943125317</v>
      </c>
      <c r="C122" s="296">
        <f>+manip_pt_air_dom!C12/country_split!C58</f>
        <v>0</v>
      </c>
      <c r="D122" s="296">
        <f>+manip_pt_air_dom!D12/country_split!D58</f>
        <v>0.017351788457185054</v>
      </c>
      <c r="E122" s="296">
        <f>+manip_pt_air_dom!E12/country_split!E58</f>
        <v>0.0058631747236886226</v>
      </c>
      <c r="F122" s="296">
        <f>+manip_pt_air_dom!F12/country_split!F58</f>
        <v>0.027209872542591374</v>
      </c>
      <c r="G122" s="296">
        <f>+manip_pt_air_dom!G12/country_split!G58</f>
        <v>0.024820903652439556</v>
      </c>
      <c r="H122" s="296">
        <f>+manip_pt_air_dom!H12/country_split!H58</f>
        <v>0.010883189981057138</v>
      </c>
      <c r="I122" s="296">
        <f>+manip_pt_air_dom!I12/country_split!I58</f>
        <v>0.0019138507156093603</v>
      </c>
      <c r="J122" s="296">
        <f>+manip_pt_air_dom!J12/country_split!J58</f>
        <v>0.008850244428469734</v>
      </c>
      <c r="K122" s="296">
        <f>+manip_pt_air_dom!K12/country_split!K58</f>
        <v>0</v>
      </c>
      <c r="L122" s="296">
        <f>+manip_pt_air_dom!L12/country_split!L58</f>
        <v>0</v>
      </c>
      <c r="M122" s="296">
        <f>+manip_pt_air_dom!M12/country_split!M58</f>
        <v>1.7743962086479558E-05</v>
      </c>
      <c r="N122" s="296">
        <f>+manip_pt_air_dom!N12/country_split!N58</f>
        <v>0.014856367410872241</v>
      </c>
      <c r="O122" s="296">
        <f>+manip_pt_air_dom!O12/country_split!O58</f>
        <v>0.018965341268966516</v>
      </c>
      <c r="P122" s="296">
        <f>+manip_pt_air_dom!P12/country_split!P58</f>
        <v>0.02877657626169498</v>
      </c>
      <c r="Q122" s="296">
        <f>+manip_pt_air_dom!Q12/country_split!Q58</f>
        <v>0.006985351959299387</v>
      </c>
      <c r="BC122" s="53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U122" s="53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</row>
    <row r="123" spans="1:17" ht="11.25">
      <c r="A123" s="53">
        <v>1999</v>
      </c>
      <c r="B123" s="296">
        <f>+manip_pt_air_dom!B13/country_split!B59</f>
        <v>0.010510734536158193</v>
      </c>
      <c r="C123" s="296">
        <f>+manip_pt_air_dom!C13/country_split!C59</f>
        <v>0</v>
      </c>
      <c r="D123" s="296">
        <f>+manip_pt_air_dom!D13/country_split!D59</f>
        <v>0.017729868082512583</v>
      </c>
      <c r="E123" s="296">
        <f>+manip_pt_air_dom!E13/country_split!E59</f>
        <v>0.006272641524118309</v>
      </c>
      <c r="F123" s="296">
        <f>+manip_pt_air_dom!F13/country_split!F59</f>
        <v>0.024968813229426557</v>
      </c>
      <c r="G123" s="296">
        <f>+manip_pt_air_dom!G13/country_split!G59</f>
        <v>0.030903304516155534</v>
      </c>
      <c r="H123" s="296">
        <f>+manip_pt_air_dom!H13/country_split!H59</f>
        <v>0.01127573499120342</v>
      </c>
      <c r="I123" s="296">
        <f>+manip_pt_air_dom!I13/country_split!I59</f>
        <v>0.0018984433877905576</v>
      </c>
      <c r="J123" s="296">
        <f>+manip_pt_air_dom!J13/country_split!J59</f>
        <v>0.008747889198197929</v>
      </c>
      <c r="K123" s="296">
        <f>+manip_pt_air_dom!K13/country_split!K59</f>
        <v>0</v>
      </c>
      <c r="L123" s="296">
        <f>+manip_pt_air_dom!L13/country_split!L59</f>
        <v>0</v>
      </c>
      <c r="M123" s="296">
        <f>+manip_pt_air_dom!M13/country_split!M59</f>
        <v>3.612091745441506E-05</v>
      </c>
      <c r="N123" s="296">
        <f>+manip_pt_air_dom!N13/country_split!N59</f>
        <v>0.012587120005141405</v>
      </c>
      <c r="O123" s="296">
        <f>+manip_pt_air_dom!O13/country_split!O59</f>
        <v>0.018026304827994378</v>
      </c>
      <c r="P123" s="296">
        <f>+manip_pt_air_dom!P13/country_split!P59</f>
        <v>0.029244656916835476</v>
      </c>
      <c r="Q123" s="296">
        <f>+manip_pt_air_dom!Q13/country_split!Q59</f>
        <v>0.006913563780335941</v>
      </c>
    </row>
    <row r="124" spans="1:17" ht="11.25">
      <c r="A124" s="53">
        <v>2000</v>
      </c>
      <c r="B124" s="296">
        <f>+manip_pt_air_dom!B14/country_split!B60</f>
        <v>0.011127164722063885</v>
      </c>
      <c r="C124" s="296">
        <f>+manip_pt_air_dom!C14/country_split!C60</f>
        <v>0</v>
      </c>
      <c r="D124" s="296">
        <f>+manip_pt_air_dom!D14/country_split!D60</f>
        <v>0.01904929263078428</v>
      </c>
      <c r="E124" s="296">
        <f>+manip_pt_air_dom!E14/country_split!E60</f>
        <v>0.007010732419621951</v>
      </c>
      <c r="F124" s="296">
        <f>+manip_pt_air_dom!F14/country_split!F60</f>
        <v>0.025049527685023953</v>
      </c>
      <c r="G124" s="296">
        <f>+manip_pt_air_dom!G14/country_split!G60</f>
        <v>0.0333019785523929</v>
      </c>
      <c r="H124" s="296">
        <f>+manip_pt_air_dom!H14/country_split!H60</f>
        <v>0.011308420821354439</v>
      </c>
      <c r="I124" s="296">
        <f>+manip_pt_air_dom!I14/country_split!I60</f>
        <v>0.0020104385941050727</v>
      </c>
      <c r="J124" s="296">
        <f>+manip_pt_air_dom!J14/country_split!J60</f>
        <v>0.00891346260614907</v>
      </c>
      <c r="K124" s="296">
        <f>+manip_pt_air_dom!K14/country_split!K60</f>
        <v>0</v>
      </c>
      <c r="L124" s="296">
        <f>+manip_pt_air_dom!L14/country_split!L60</f>
        <v>0</v>
      </c>
      <c r="M124" s="296">
        <f>+manip_pt_air_dom!M14/country_split!M60</f>
        <v>0</v>
      </c>
      <c r="N124" s="296">
        <f>+manip_pt_air_dom!N14/country_split!N60</f>
        <v>0.012419647017085443</v>
      </c>
      <c r="O124" s="296">
        <f>+manip_pt_air_dom!O14/country_split!O60</f>
        <v>0.018779958255336425</v>
      </c>
      <c r="P124" s="296">
        <f>+manip_pt_air_dom!P14/country_split!P60</f>
        <v>0.03096809468259095</v>
      </c>
      <c r="Q124" s="296">
        <f>+manip_pt_air_dom!Q14/country_split!Q60</f>
        <v>0.007396926233642477</v>
      </c>
    </row>
    <row r="125" spans="1:55" ht="11.25">
      <c r="A125" s="53">
        <v>2001</v>
      </c>
      <c r="B125" s="295" t="e">
        <f>+manip_pt_pc!B15/country_split!B61</f>
        <v>#N/A</v>
      </c>
      <c r="C125" s="295" t="e">
        <f>+manip_pt_pc!C15/country_split!C61</f>
        <v>#N/A</v>
      </c>
      <c r="D125" s="295" t="e">
        <f>+manip_pt_pc!D15/country_split!D61</f>
        <v>#N/A</v>
      </c>
      <c r="E125" s="295" t="e">
        <f>+manip_pt_pc!E15/country_split!E61</f>
        <v>#N/A</v>
      </c>
      <c r="F125" s="295" t="e">
        <f>+manip_pt_pc!F15/country_split!F61</f>
        <v>#N/A</v>
      </c>
      <c r="G125" s="295" t="e">
        <f>+manip_pt_pc!G15/country_split!G61</f>
        <v>#N/A</v>
      </c>
      <c r="H125" s="295" t="e">
        <f>+manip_pt_pc!H15/country_split!H61</f>
        <v>#N/A</v>
      </c>
      <c r="I125" s="295" t="e">
        <f>+manip_pt_pc!I15/country_split!I61</f>
        <v>#N/A</v>
      </c>
      <c r="J125" s="295" t="e">
        <f>+manip_pt_pc!J15/country_split!J61</f>
        <v>#N/A</v>
      </c>
      <c r="K125" s="295" t="e">
        <f>+manip_pt_pc!K15/country_split!K61</f>
        <v>#N/A</v>
      </c>
      <c r="L125" s="295" t="e">
        <f>+manip_pt_pc!L15/country_split!L61</f>
        <v>#N/A</v>
      </c>
      <c r="M125" s="295" t="e">
        <f>+manip_pt_pc!M15/country_split!M61</f>
        <v>#N/A</v>
      </c>
      <c r="N125" s="295" t="e">
        <f>+manip_pt_pc!N15/country_split!N61</f>
        <v>#N/A</v>
      </c>
      <c r="O125" s="295" t="e">
        <f>+manip_pt_pc!O15/country_split!O61</f>
        <v>#N/A</v>
      </c>
      <c r="P125" s="295" t="e">
        <f>+manip_pt_pc!P15/country_split!P61</f>
        <v>#N/A</v>
      </c>
      <c r="Q125" s="295" t="e">
        <f>+manip_pt_pc!Q15/country_split!Q61</f>
        <v>#N/A</v>
      </c>
      <c r="BC125" s="2"/>
    </row>
    <row r="126" spans="1:55" ht="11.25">
      <c r="A126" s="53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BC126" s="29"/>
    </row>
    <row r="127" spans="1:55" ht="11.25">
      <c r="A127" s="53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BC127" s="2"/>
    </row>
    <row r="128" spans="2:71" ht="11.25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</row>
    <row r="129" spans="1:89" ht="11.25" customHeight="1" hidden="1" outlineLevel="1">
      <c r="A129" s="53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BC129" s="53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</row>
    <row r="130" spans="1:89" ht="11.25" customHeight="1" hidden="1" outlineLevel="1">
      <c r="A130" s="53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BC130" s="53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</row>
    <row r="131" spans="1:89" ht="11.25" customHeight="1" hidden="1" outlineLevel="1">
      <c r="A131" s="53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BC131" s="53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</row>
    <row r="132" spans="1:89" ht="11.25" customHeight="1" hidden="1" outlineLevel="1">
      <c r="A132" s="53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BC132" s="53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</row>
    <row r="133" spans="1:89" ht="11.25" customHeight="1" hidden="1" outlineLevel="1">
      <c r="A133" s="53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BC133" s="53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</row>
    <row r="134" spans="1:89" ht="11.25" customHeight="1" hidden="1" outlineLevel="1">
      <c r="A134" s="53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BC134" s="53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</row>
    <row r="135" spans="1:89" ht="11.25" customHeight="1" hidden="1" outlineLevel="1">
      <c r="A135" s="53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BC135" s="53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</row>
    <row r="136" spans="1:89" ht="11.25" customHeight="1" hidden="1" outlineLevel="1">
      <c r="A136" s="53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BC136" s="53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</row>
    <row r="137" spans="55:89" ht="11.25" customHeight="1" hidden="1" outlineLevel="1">
      <c r="BC137" s="53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</row>
    <row r="138" spans="55:89" ht="11.25" customHeight="1" hidden="1" outlineLevel="1">
      <c r="BC138" s="53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</row>
    <row r="139" spans="55:89" ht="11.25" customHeight="1" hidden="1" outlineLevel="1">
      <c r="BC139" s="53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</row>
    <row r="140" spans="55:89" ht="11.25" customHeight="1" hidden="1" outlineLevel="1">
      <c r="BC140" s="53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</row>
    <row r="141" spans="55:89" ht="11.25" collapsed="1">
      <c r="BC141" s="53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</row>
    <row r="142" spans="1:89" ht="11.25">
      <c r="A142" s="2" t="s">
        <v>377</v>
      </c>
      <c r="BC142" s="53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</row>
    <row r="143" spans="55:89" ht="11.25">
      <c r="BC143" s="53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</row>
    <row r="144" spans="2:89" ht="11.25">
      <c r="B144" s="120" t="s">
        <v>5</v>
      </c>
      <c r="C144" s="120" t="s">
        <v>7</v>
      </c>
      <c r="D144" s="120" t="s">
        <v>8</v>
      </c>
      <c r="E144" s="120" t="s">
        <v>9</v>
      </c>
      <c r="F144" s="120" t="s">
        <v>10</v>
      </c>
      <c r="G144" s="120" t="s">
        <v>11</v>
      </c>
      <c r="H144" s="120" t="s">
        <v>12</v>
      </c>
      <c r="I144" s="120" t="s">
        <v>13</v>
      </c>
      <c r="J144" s="120" t="s">
        <v>14</v>
      </c>
      <c r="K144" s="120" t="s">
        <v>15</v>
      </c>
      <c r="L144" s="120" t="s">
        <v>16</v>
      </c>
      <c r="M144" s="120" t="s">
        <v>17</v>
      </c>
      <c r="N144" s="120" t="s">
        <v>18</v>
      </c>
      <c r="O144" s="120" t="s">
        <v>19</v>
      </c>
      <c r="P144" s="120" t="s">
        <v>20</v>
      </c>
      <c r="Q144" s="120" t="s">
        <v>21</v>
      </c>
      <c r="BC144" s="53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</row>
    <row r="145" spans="1:89" ht="11.25">
      <c r="A145" s="53">
        <v>1991</v>
      </c>
      <c r="B145" s="296">
        <f>+manip_pt_rail!B5/B51</f>
        <v>0.06966424103977206</v>
      </c>
      <c r="C145" s="296">
        <f>+manip_pt_rail!C5/C51</f>
        <v>0.06712533830337758</v>
      </c>
      <c r="D145" s="296">
        <f>+manip_pt_rail!D5/D51</f>
        <v>0.05501632062460104</v>
      </c>
      <c r="E145" s="296">
        <f>+manip_pt_rail!E5/E51</f>
        <v>0.06768581795590346</v>
      </c>
      <c r="F145" s="296">
        <f>+manip_pt_rail!F5/F51</f>
        <v>0.07212132346641327</v>
      </c>
      <c r="G145" s="296">
        <f>+manip_pt_rail!G5/G51</f>
        <v>0.06305853365779668</v>
      </c>
      <c r="H145" s="296">
        <f>+manip_pt_rail!H5/H51</f>
        <v>0.08741701319028312</v>
      </c>
      <c r="I145" s="296">
        <f>+manip_pt_rail!I5/I51</f>
        <v>0.052329725462439615</v>
      </c>
      <c r="J145" s="296">
        <f>+manip_pt_rail!J5/J51</f>
        <v>0.06720791400307677</v>
      </c>
      <c r="K145" s="296">
        <f>+manip_pt_rail!K5/K51</f>
        <v>0.0564058833525048</v>
      </c>
      <c r="L145" s="296">
        <f>+manip_pt_rail!L5/L51</f>
        <v>0.10274035817743271</v>
      </c>
      <c r="M145" s="296">
        <f>+manip_pt_rail!M5/M51</f>
        <v>0.10565435288837713</v>
      </c>
      <c r="N145" s="296">
        <f>+manip_pt_rail!N5/N51</f>
        <v>0.09421020550973705</v>
      </c>
      <c r="O145" s="296">
        <f>+manip_pt_rail!O5/O51</f>
        <v>0.0552473751681282</v>
      </c>
      <c r="P145" s="296">
        <f>+manip_pt_rail!P5/P51</f>
        <v>0.05626568378953357</v>
      </c>
      <c r="Q145" s="296">
        <f>+manip_pt_rail!Q5/Q51</f>
        <v>0.0492855216587757</v>
      </c>
      <c r="BC145" s="53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</row>
    <row r="146" spans="1:89" ht="11.25">
      <c r="A146" s="53">
        <v>1992</v>
      </c>
      <c r="B146" s="296">
        <f>+manip_pt_rail!B6/B52</f>
        <v>0.06745354390016753</v>
      </c>
      <c r="C146" s="296">
        <f>+manip_pt_rail!C6/C52</f>
        <v>0.06602692359991454</v>
      </c>
      <c r="D146" s="296">
        <f>+manip_pt_rail!D6/D52</f>
        <v>0.05563590290274113</v>
      </c>
      <c r="E146" s="296">
        <f>+manip_pt_rail!E6/E52</f>
        <v>0.06645355284708052</v>
      </c>
      <c r="F146" s="296">
        <f>+manip_pt_rail!F6/F52</f>
        <v>0.07201329352727552</v>
      </c>
      <c r="G146" s="296">
        <f>+manip_pt_rail!G6/G52</f>
        <v>0.06477362110134331</v>
      </c>
      <c r="H146" s="296">
        <f>+manip_pt_rail!H6/H52</f>
        <v>0.08547729264904359</v>
      </c>
      <c r="I146" s="296">
        <f>+manip_pt_rail!I6/I52</f>
        <v>0.04829302283992123</v>
      </c>
      <c r="J146" s="296">
        <f>+manip_pt_rail!J6/J52</f>
        <v>0.06153614959454595</v>
      </c>
      <c r="K146" s="296">
        <f>+manip_pt_rail!K6/K52</f>
        <v>0.05149518732069687</v>
      </c>
      <c r="L146" s="296">
        <f>+manip_pt_rail!L6/L52</f>
        <v>0.09798534798534798</v>
      </c>
      <c r="M146" s="296">
        <f>+manip_pt_rail!M6/M52</f>
        <v>0.11004047965300531</v>
      </c>
      <c r="N146" s="296">
        <f>+manip_pt_rail!N6/N52</f>
        <v>0.08234938943578417</v>
      </c>
      <c r="O146" s="296">
        <f>+manip_pt_rail!O6/O52</f>
        <v>0.049188993057706555</v>
      </c>
      <c r="P146" s="296">
        <f>+manip_pt_rail!P6/P52</f>
        <v>0.05412119134251225</v>
      </c>
      <c r="Q146" s="296">
        <f>+manip_pt_rail!Q6/Q52</f>
        <v>0.04799297702970062</v>
      </c>
      <c r="BC146" s="53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</row>
    <row r="147" spans="1:89" ht="11.25">
      <c r="A147" s="53">
        <v>1993</v>
      </c>
      <c r="B147" s="296">
        <f>+manip_pt_rail!B7/B53</f>
        <v>0.06520667647783111</v>
      </c>
      <c r="C147" s="296">
        <f>+manip_pt_rail!C7/C53</f>
        <v>0.06363480806890126</v>
      </c>
      <c r="D147" s="296">
        <f>+manip_pt_rail!D7/D53</f>
        <v>0.05469708265733576</v>
      </c>
      <c r="E147" s="296">
        <f>+manip_pt_rail!E7/E53</f>
        <v>0.0665129305148131</v>
      </c>
      <c r="F147" s="296">
        <f>+manip_pt_rail!F7/F53</f>
        <v>0.05855782592095074</v>
      </c>
      <c r="G147" s="296">
        <f>+manip_pt_rail!G7/G53</f>
        <v>0.05947763782152457</v>
      </c>
      <c r="H147" s="296">
        <f>+manip_pt_rail!H7/H53</f>
        <v>0.07945607071829193</v>
      </c>
      <c r="I147" s="296">
        <f>+manip_pt_rail!I7/I53</f>
        <v>0.04822853268134211</v>
      </c>
      <c r="J147" s="296">
        <f>+manip_pt_rail!J7/J53</f>
        <v>0.05983767190981801</v>
      </c>
      <c r="K147" s="296">
        <f>+manip_pt_rail!K7/K53</f>
        <v>0.050755521115846566</v>
      </c>
      <c r="L147" s="296">
        <f>+manip_pt_rail!L7/L53</f>
        <v>0.09885629655648251</v>
      </c>
      <c r="M147" s="296">
        <f>+manip_pt_rail!M7/M53</f>
        <v>0.10933931434568821</v>
      </c>
      <c r="N147" s="296">
        <f>+manip_pt_rail!N7/N53</f>
        <v>0.07554306290807233</v>
      </c>
      <c r="O147" s="296">
        <f>+manip_pt_rail!O7/O53</f>
        <v>0.0490442127788146</v>
      </c>
      <c r="P147" s="296">
        <f>+manip_pt_rail!P7/P53</f>
        <v>0.058458627676766885</v>
      </c>
      <c r="Q147" s="296">
        <f>+manip_pt_rail!Q7/Q53</f>
        <v>0.04602703639248415</v>
      </c>
      <c r="BC147" s="53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</row>
    <row r="148" spans="1:89" ht="11.25">
      <c r="A148" s="53">
        <v>1994</v>
      </c>
      <c r="B148" s="296">
        <f>+manip_pt_rail!B8/B54</f>
        <v>0.06465408999681295</v>
      </c>
      <c r="C148" s="296">
        <f>+manip_pt_rail!C8/C54</f>
        <v>0.06138452717823521</v>
      </c>
      <c r="D148" s="296">
        <f>+manip_pt_rail!D8/D54</f>
        <v>0.05548415363952222</v>
      </c>
      <c r="E148" s="296">
        <f>+manip_pt_rail!E8/E54</f>
        <v>0.07107191504325627</v>
      </c>
      <c r="F148" s="296">
        <f>+manip_pt_rail!F8/F54</f>
        <v>0.043477288011704994</v>
      </c>
      <c r="G148" s="296">
        <f>+manip_pt_rail!G8/G54</f>
        <v>0.05645694675267229</v>
      </c>
      <c r="H148" s="296">
        <f>+manip_pt_rail!H8/H54</f>
        <v>0.07745563170989081</v>
      </c>
      <c r="I148" s="296">
        <f>+manip_pt_rail!I8/I54</f>
        <v>0.04481130917946865</v>
      </c>
      <c r="J148" s="296">
        <f>+manip_pt_rail!J8/J54</f>
        <v>0.0597597441428197</v>
      </c>
      <c r="K148" s="296">
        <f>+manip_pt_rail!K8/K54</f>
        <v>0.054641709207789754</v>
      </c>
      <c r="L148" s="296">
        <f>+manip_pt_rail!L8/L54</f>
        <v>0.09540564751480611</v>
      </c>
      <c r="M148" s="296">
        <f>+manip_pt_rail!M8/M54</f>
        <v>0.10617178846547382</v>
      </c>
      <c r="N148" s="296">
        <f>+manip_pt_rail!N8/N54</f>
        <v>0.06826509639988401</v>
      </c>
      <c r="O148" s="296">
        <f>+manip_pt_rail!O8/O54</f>
        <v>0.04957906686580354</v>
      </c>
      <c r="P148" s="296">
        <f>+manip_pt_rail!P8/P54</f>
        <v>0.05841686264401219</v>
      </c>
      <c r="Q148" s="296">
        <f>+manip_pt_rail!Q8/Q54</f>
        <v>0.04325298118637307</v>
      </c>
      <c r="BC148" s="53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</row>
    <row r="149" spans="1:89" ht="11.25">
      <c r="A149" s="53">
        <v>1995</v>
      </c>
      <c r="B149" s="296">
        <f>+manip_pt_rail!B9/B55</f>
        <v>0.06676676038278738</v>
      </c>
      <c r="C149" s="296">
        <f>+manip_pt_rail!C9/C55</f>
        <v>0.05760590637441708</v>
      </c>
      <c r="D149" s="296">
        <f>+manip_pt_rail!D9/D55</f>
        <v>0.051851909614470844</v>
      </c>
      <c r="E149" s="296">
        <f>+manip_pt_rail!E9/E55</f>
        <v>0.08451309105310204</v>
      </c>
      <c r="F149" s="296">
        <f>+manip_pt_rail!F9/F55</f>
        <v>0.04602336683822699</v>
      </c>
      <c r="G149" s="296">
        <f>+manip_pt_rail!G9/G55</f>
        <v>0.05662256784384219</v>
      </c>
      <c r="H149" s="296">
        <f>+manip_pt_rail!H9/H55</f>
        <v>0.07532139820774955</v>
      </c>
      <c r="I149" s="296">
        <f>+manip_pt_rail!I9/I55</f>
        <v>0.04344919279914609</v>
      </c>
      <c r="J149" s="296">
        <f>+manip_pt_rail!J9/J55</f>
        <v>0.05837610055849859</v>
      </c>
      <c r="K149" s="296">
        <f>+manip_pt_rail!K9/K55</f>
        <v>0.04875148632580261</v>
      </c>
      <c r="L149" s="296">
        <f>+manip_pt_rail!L9/L55</f>
        <v>0.09112553056563945</v>
      </c>
      <c r="M149" s="296">
        <f>+manip_pt_rail!M9/M55</f>
        <v>0.11085834653961668</v>
      </c>
      <c r="N149" s="296">
        <f>+manip_pt_rail!N9/N55</f>
        <v>0.06157464674448787</v>
      </c>
      <c r="O149" s="296">
        <f>+manip_pt_rail!O9/O55</f>
        <v>0.05146674650909092</v>
      </c>
      <c r="P149" s="296">
        <f>+manip_pt_rail!P9/P55</f>
        <v>0.060092179351733756</v>
      </c>
      <c r="Q149" s="296">
        <f>+manip_pt_rail!Q9/Q55</f>
        <v>0.04460897481701361</v>
      </c>
      <c r="BC149" s="53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</row>
    <row r="150" spans="1:89" ht="11.25">
      <c r="A150" s="53">
        <v>1996</v>
      </c>
      <c r="B150" s="296">
        <f>+manip_pt_rail!B10/B56</f>
        <v>0.06780080250707753</v>
      </c>
      <c r="C150" s="296">
        <f>+manip_pt_rail!C10/C56</f>
        <v>0.05752639875252124</v>
      </c>
      <c r="D150" s="296">
        <f>+manip_pt_rail!D10/D56</f>
        <v>0.04965512496384822</v>
      </c>
      <c r="E150" s="296">
        <f>+manip_pt_rail!E10/E56</f>
        <v>0.08551878561370363</v>
      </c>
      <c r="F150" s="296">
        <f>+manip_pt_rail!F10/F56</f>
        <v>0.04736470337401424</v>
      </c>
      <c r="G150" s="296">
        <f>+manip_pt_rail!G10/G56</f>
        <v>0.05622814842364719</v>
      </c>
      <c r="H150" s="296">
        <f>+manip_pt_rail!H10/H56</f>
        <v>0.0795083554358771</v>
      </c>
      <c r="I150" s="296">
        <f>+manip_pt_rail!I10/I56</f>
        <v>0.04077072345964428</v>
      </c>
      <c r="J150" s="296">
        <f>+manip_pt_rail!J10/J56</f>
        <v>0.058372331426267465</v>
      </c>
      <c r="K150" s="296">
        <f>+manip_pt_rail!K10/K56</f>
        <v>0.04745989304812834</v>
      </c>
      <c r="L150" s="296">
        <f>+manip_pt_rail!L10/L56</f>
        <v>0.0910912722782838</v>
      </c>
      <c r="M150" s="296">
        <f>+manip_pt_rail!M10/M56</f>
        <v>0.11156201833141186</v>
      </c>
      <c r="N150" s="296">
        <f>+manip_pt_rail!N10/N56</f>
        <v>0.054385853781222855</v>
      </c>
      <c r="O150" s="296">
        <f>+manip_pt_rail!O10/O56</f>
        <v>0.05208159441255083</v>
      </c>
      <c r="P150" s="296">
        <f>+manip_pt_rail!P10/P56</f>
        <v>0.060006233080837135</v>
      </c>
      <c r="Q150" s="296">
        <f>+manip_pt_rail!Q10/Q56</f>
        <v>0.04686154453445537</v>
      </c>
      <c r="BC150" s="53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</row>
    <row r="151" spans="1:17" ht="11.25">
      <c r="A151" s="53">
        <v>1997</v>
      </c>
      <c r="B151" s="296">
        <f>+manip_pt_rail!B11/B57</f>
        <v>0.06704220391679583</v>
      </c>
      <c r="C151" s="296">
        <f>+manip_pt_rail!C11/C57</f>
        <v>0.05839049690480174</v>
      </c>
      <c r="D151" s="296">
        <f>+manip_pt_rail!D11/D57</f>
        <v>0.0536841016531626</v>
      </c>
      <c r="E151" s="296">
        <f>+manip_pt_rail!E11/E57</f>
        <v>0.08302417342749545</v>
      </c>
      <c r="F151" s="296">
        <f>+manip_pt_rail!F11/F57</f>
        <v>0.048251622684911344</v>
      </c>
      <c r="G151" s="296">
        <f>+manip_pt_rail!G11/G57</f>
        <v>0.05640652244347789</v>
      </c>
      <c r="H151" s="296">
        <f>+manip_pt_rail!H11/H57</f>
        <v>0.07979397016252138</v>
      </c>
      <c r="I151" s="296">
        <f>+manip_pt_rail!I11/I57</f>
        <v>0.0407388051334889</v>
      </c>
      <c r="J151" s="296">
        <f>+manip_pt_rail!J11/J57</f>
        <v>0.05592330883897281</v>
      </c>
      <c r="K151" s="296">
        <f>+manip_pt_rail!K11/K57</f>
        <v>0.048400328137817875</v>
      </c>
      <c r="L151" s="296">
        <f>+manip_pt_rail!L11/L57</f>
        <v>0.08947700063011972</v>
      </c>
      <c r="M151" s="296">
        <f>+manip_pt_rail!M11/M57</f>
        <v>0.09225311315818112</v>
      </c>
      <c r="N151" s="296">
        <f>+manip_pt_rail!N11/N57</f>
        <v>0.05243472599902709</v>
      </c>
      <c r="O151" s="296">
        <f>+manip_pt_rail!O11/O57</f>
        <v>0.052442136797115756</v>
      </c>
      <c r="P151" s="296">
        <f>+manip_pt_rail!P11/P57</f>
        <v>0.06485985420382888</v>
      </c>
      <c r="Q151" s="296">
        <f>+manip_pt_rail!Q11/Q57</f>
        <v>0.05001242170985287</v>
      </c>
    </row>
    <row r="152" spans="1:17" ht="11.25">
      <c r="A152" s="53">
        <v>1998</v>
      </c>
      <c r="B152" s="296">
        <f>+manip_pt_rail!B12/B58</f>
        <v>0.0656321299268568</v>
      </c>
      <c r="C152" s="296">
        <f>+manip_pt_rail!C12/C58</f>
        <v>0.05743907670144145</v>
      </c>
      <c r="D152" s="296">
        <f>+manip_pt_rail!D12/D58</f>
        <v>0.054920017825436845</v>
      </c>
      <c r="E152" s="296">
        <f>+manip_pt_rail!E12/E58</f>
        <v>0.08114291432600367</v>
      </c>
      <c r="F152" s="296">
        <f>+manip_pt_rail!F12/F58</f>
        <v>0.03819302498896783</v>
      </c>
      <c r="G152" s="296">
        <f>+manip_pt_rail!G12/G58</f>
        <v>0.050351324457518075</v>
      </c>
      <c r="H152" s="296">
        <f>+manip_pt_rail!H12/H58</f>
        <v>0.0808256946245711</v>
      </c>
      <c r="I152" s="296">
        <f>+manip_pt_rail!I12/I58</f>
        <v>0.03981585070978128</v>
      </c>
      <c r="J152" s="296">
        <f>+manip_pt_rail!J12/J58</f>
        <v>0.051633843914941524</v>
      </c>
      <c r="K152" s="296">
        <f>+manip_pt_rail!K12/K58</f>
        <v>0.047619047619047616</v>
      </c>
      <c r="L152" s="296">
        <f>+manip_pt_rail!L12/L58</f>
        <v>0.09324155193992491</v>
      </c>
      <c r="M152" s="296">
        <f>+manip_pt_rail!M12/M58</f>
        <v>0.09100899370975986</v>
      </c>
      <c r="N152" s="296">
        <f>+manip_pt_rail!N12/N58</f>
        <v>0.04948973478235431</v>
      </c>
      <c r="O152" s="296">
        <f>+manip_pt_rail!O12/O58</f>
        <v>0.051381950812455605</v>
      </c>
      <c r="P152" s="296">
        <f>+manip_pt_rail!P12/P58</f>
        <v>0.06598326894947736</v>
      </c>
      <c r="Q152" s="296">
        <f>+manip_pt_rail!Q12/Q58</f>
        <v>0.05181563209933606</v>
      </c>
    </row>
    <row r="153" spans="1:55" ht="11.25">
      <c r="A153" s="53">
        <v>1999</v>
      </c>
      <c r="B153" s="296">
        <f>+manip_pt_rail!B13/B59</f>
        <v>0.06597299874310628</v>
      </c>
      <c r="C153" s="296">
        <f>+manip_pt_rail!C13/C59</f>
        <v>0.05845136471298902</v>
      </c>
      <c r="D153" s="296">
        <f>+manip_pt_rail!D13/D59</f>
        <v>0.053337040157451714</v>
      </c>
      <c r="E153" s="296">
        <f>+manip_pt_rail!E13/E59</f>
        <v>0.08171021595902798</v>
      </c>
      <c r="F153" s="296">
        <f>+manip_pt_rail!F13/F59</f>
        <v>0.043776625298609546</v>
      </c>
      <c r="G153" s="296">
        <f>+manip_pt_rail!G13/G59</f>
        <v>0.04891151841078969</v>
      </c>
      <c r="H153" s="296">
        <f>+manip_pt_rail!H13/H59</f>
        <v>0.08104674012739052</v>
      </c>
      <c r="I153" s="296">
        <f>+manip_pt_rail!I13/I59</f>
        <v>0.03793816334377709</v>
      </c>
      <c r="J153" s="296">
        <f>+manip_pt_rail!J13/J59</f>
        <v>0.050968592788875514</v>
      </c>
      <c r="K153" s="296">
        <f>+manip_pt_rail!K13/K59</f>
        <v>0.0499194847020934</v>
      </c>
      <c r="L153" s="296">
        <f>+manip_pt_rail!L13/L59</f>
        <v>0.09157509157509157</v>
      </c>
      <c r="M153" s="296">
        <f>+manip_pt_rail!M13/M59</f>
        <v>0.0899967491174291</v>
      </c>
      <c r="N153" s="296">
        <f>+manip_pt_rail!N13/N59</f>
        <v>0.04438296522450286</v>
      </c>
      <c r="O153" s="296">
        <f>+manip_pt_rail!O13/O59</f>
        <v>0.050875220647992096</v>
      </c>
      <c r="P153" s="296">
        <f>+manip_pt_rail!P13/P59</f>
        <v>0.0681139319851202</v>
      </c>
      <c r="Q153" s="296">
        <f>+manip_pt_rail!Q13/Q59</f>
        <v>0.05521890760292772</v>
      </c>
      <c r="BC153" s="2"/>
    </row>
    <row r="154" spans="1:55" ht="11.25">
      <c r="A154" s="53">
        <v>2000</v>
      </c>
      <c r="B154" s="296">
        <f>+manip_pt_rail!B14/B60</f>
        <v>0.06796173782013147</v>
      </c>
      <c r="C154" s="296">
        <f>+manip_pt_rail!C14/C60</f>
        <v>0.060856971948493536</v>
      </c>
      <c r="D154" s="296">
        <f>+manip_pt_rail!D14/D60</f>
        <v>0.05615923154119221</v>
      </c>
      <c r="E154" s="296">
        <f>+manip_pt_rail!E14/E60</f>
        <v>0.08595332203623884</v>
      </c>
      <c r="F154" s="296">
        <f>+manip_pt_rail!F14/F60</f>
        <v>0.03810226503005204</v>
      </c>
      <c r="G154" s="296">
        <f>+manip_pt_rail!G14/G60</f>
        <v>0.04827035667999</v>
      </c>
      <c r="H154" s="296">
        <f>+manip_pt_rail!H14/H60</f>
        <v>0.08481779747740223</v>
      </c>
      <c r="I154" s="296">
        <f>+manip_pt_rail!I14/I60</f>
        <v>0.034629230536147755</v>
      </c>
      <c r="J154" s="296">
        <f>+manip_pt_rail!J14/J60</f>
        <v>0.05400580657960351</v>
      </c>
      <c r="K154" s="296">
        <f>+manip_pt_rail!K14/K60</f>
        <v>0.05300089527232536</v>
      </c>
      <c r="L154" s="296">
        <f>+manip_pt_rail!L14/L60</f>
        <v>0.09390243902439024</v>
      </c>
      <c r="M154" s="296">
        <f>+manip_pt_rail!M14/M60</f>
        <v>0.08541847096764164</v>
      </c>
      <c r="N154" s="296">
        <f>+manip_pt_rail!N14/N60</f>
        <v>0.03900179160788776</v>
      </c>
      <c r="O154" s="296">
        <f>+manip_pt_rail!O14/O60</f>
        <v>0.050081729416993015</v>
      </c>
      <c r="P154" s="296">
        <f>+manip_pt_rail!P14/P60</f>
        <v>0.07251003636855587</v>
      </c>
      <c r="Q154" s="296">
        <f>+manip_pt_rail!Q14/Q60</f>
        <v>0.05567462370429577</v>
      </c>
      <c r="BC154" s="29"/>
    </row>
    <row r="155" spans="1:55" ht="11.25">
      <c r="A155" s="53">
        <v>2001</v>
      </c>
      <c r="B155" s="296" t="e">
        <f>+manip_pt_rail!B15/B61</f>
        <v>#N/A</v>
      </c>
      <c r="C155" s="296" t="e">
        <f>+manip_pt_rail!C15/C61</f>
        <v>#N/A</v>
      </c>
      <c r="D155" s="296" t="e">
        <f>+manip_pt_rail!D15/D61</f>
        <v>#N/A</v>
      </c>
      <c r="E155" s="296" t="e">
        <f>+manip_pt_rail!E15/E61</f>
        <v>#N/A</v>
      </c>
      <c r="F155" s="296" t="e">
        <f>+manip_pt_rail!F15/F61</f>
        <v>#N/A</v>
      </c>
      <c r="G155" s="296" t="e">
        <f>+manip_pt_rail!G15/G61</f>
        <v>#N/A</v>
      </c>
      <c r="H155" s="296" t="e">
        <f>+manip_pt_rail!H15/H61</f>
        <v>#N/A</v>
      </c>
      <c r="I155" s="296" t="e">
        <f>+manip_pt_rail!I15/I61</f>
        <v>#N/A</v>
      </c>
      <c r="J155" s="296" t="e">
        <f>+manip_pt_rail!J15/J61</f>
        <v>#N/A</v>
      </c>
      <c r="K155" s="296" t="e">
        <f>+manip_pt_rail!K15/K61</f>
        <v>#N/A</v>
      </c>
      <c r="L155" s="296" t="e">
        <f>+manip_pt_rail!L15/L61</f>
        <v>#N/A</v>
      </c>
      <c r="M155" s="296" t="e">
        <f>+manip_pt_rail!M15/M61</f>
        <v>#N/A</v>
      </c>
      <c r="N155" s="296" t="e">
        <f>+manip_pt_rail!N15/N61</f>
        <v>#N/A</v>
      </c>
      <c r="O155" s="296" t="e">
        <f>+manip_pt_rail!O15/O61</f>
        <v>#N/A</v>
      </c>
      <c r="P155" s="296" t="e">
        <f>+manip_pt_rail!P15/P61</f>
        <v>#N/A</v>
      </c>
      <c r="Q155" s="296" t="e">
        <f>+manip_pt_rail!Q15/Q61</f>
        <v>#N/A</v>
      </c>
      <c r="BC155" s="2"/>
    </row>
    <row r="156" spans="55:71" ht="11.25"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</row>
    <row r="157" spans="55:71" ht="11.25" customHeight="1" hidden="1" outlineLevel="1">
      <c r="BC157" s="53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</row>
    <row r="158" spans="55:71" ht="11.25" customHeight="1" hidden="1" outlineLevel="1">
      <c r="BC158" s="53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</row>
    <row r="159" spans="55:71" ht="11.25" customHeight="1" hidden="1" outlineLevel="1">
      <c r="BC159" s="53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</row>
    <row r="160" spans="55:71" ht="11.25" customHeight="1" hidden="1" outlineLevel="1">
      <c r="BC160" s="53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</row>
    <row r="161" spans="55:71" ht="11.25" customHeight="1" hidden="1" outlineLevel="1">
      <c r="BC161" s="53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</row>
    <row r="162" spans="55:71" ht="11.25" customHeight="1" hidden="1" outlineLevel="1">
      <c r="BC162" s="53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</row>
    <row r="163" spans="55:71" ht="11.25" customHeight="1" hidden="1" outlineLevel="1">
      <c r="BC163" s="53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</row>
    <row r="164" spans="55:71" ht="11.25" customHeight="1" hidden="1" outlineLevel="1">
      <c r="BC164" s="53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</row>
    <row r="165" spans="55:71" ht="11.25" customHeight="1" hidden="1" outlineLevel="1">
      <c r="BC165" s="53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</row>
    <row r="166" spans="55:71" ht="11.25" customHeight="1" hidden="1" outlineLevel="1">
      <c r="BC166" s="53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</row>
    <row r="167" spans="55:71" ht="11.25" customHeight="1" hidden="1" outlineLevel="1">
      <c r="BC167" s="53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</row>
    <row r="168" spans="2:71" ht="11.25" collapsed="1">
      <c r="B168" s="295">
        <f>+B154/B145-1</f>
        <v>-0.024438696155013262</v>
      </c>
      <c r="C168" s="295">
        <f aca="true" t="shared" si="4" ref="C168:Q168">+C154/C145-1</f>
        <v>-0.09338301323046938</v>
      </c>
      <c r="D168" s="295">
        <f t="shared" si="4"/>
        <v>0.020774034025098143</v>
      </c>
      <c r="E168" s="295">
        <f t="shared" si="4"/>
        <v>0.2698867300715262</v>
      </c>
      <c r="F168" s="295">
        <f t="shared" si="4"/>
        <v>-0.4716920988312676</v>
      </c>
      <c r="G168" s="295">
        <f t="shared" si="4"/>
        <v>-0.2345150786102721</v>
      </c>
      <c r="H168" s="295">
        <f t="shared" si="4"/>
        <v>-0.02973352232045623</v>
      </c>
      <c r="I168" s="295">
        <f t="shared" si="4"/>
        <v>-0.33824933667952517</v>
      </c>
      <c r="J168" s="295">
        <f t="shared" si="4"/>
        <v>-0.1964367979471714</v>
      </c>
      <c r="K168" s="295">
        <f t="shared" si="4"/>
        <v>-0.06036583203387125</v>
      </c>
      <c r="L168" s="295">
        <f t="shared" si="4"/>
        <v>-0.08602188380324094</v>
      </c>
      <c r="M168" s="295">
        <f t="shared" si="4"/>
        <v>-0.1915290886511274</v>
      </c>
      <c r="N168" s="295">
        <f t="shared" si="4"/>
        <v>-0.586013092776273</v>
      </c>
      <c r="O168" s="295">
        <f t="shared" si="4"/>
        <v>-0.0935002927363544</v>
      </c>
      <c r="P168" s="295">
        <f t="shared" si="4"/>
        <v>0.28870799188694907</v>
      </c>
      <c r="Q168" s="295">
        <f t="shared" si="4"/>
        <v>0.12963446120656896</v>
      </c>
      <c r="BC168" s="53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</row>
    <row r="169" spans="1:71" ht="11.25">
      <c r="A169" s="2" t="s">
        <v>378</v>
      </c>
      <c r="BC169" s="53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</row>
    <row r="170" spans="55:71" ht="11.25">
      <c r="BC170" s="53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</row>
    <row r="171" spans="2:71" ht="11.25">
      <c r="B171" s="120" t="s">
        <v>5</v>
      </c>
      <c r="C171" s="120" t="s">
        <v>7</v>
      </c>
      <c r="D171" s="120" t="s">
        <v>8</v>
      </c>
      <c r="E171" s="120" t="s">
        <v>9</v>
      </c>
      <c r="F171" s="120" t="s">
        <v>10</v>
      </c>
      <c r="G171" s="120" t="s">
        <v>11</v>
      </c>
      <c r="H171" s="120" t="s">
        <v>12</v>
      </c>
      <c r="I171" s="120" t="s">
        <v>13</v>
      </c>
      <c r="J171" s="120" t="s">
        <v>14</v>
      </c>
      <c r="K171" s="120" t="s">
        <v>15</v>
      </c>
      <c r="L171" s="120" t="s">
        <v>16</v>
      </c>
      <c r="M171" s="120" t="s">
        <v>17</v>
      </c>
      <c r="N171" s="120" t="s">
        <v>18</v>
      </c>
      <c r="O171" s="120" t="s">
        <v>19</v>
      </c>
      <c r="P171" s="120" t="s">
        <v>20</v>
      </c>
      <c r="Q171" s="120" t="s">
        <v>21</v>
      </c>
      <c r="BC171" s="53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</row>
    <row r="172" spans="1:71" ht="11.25">
      <c r="A172" s="53">
        <v>1991</v>
      </c>
      <c r="B172" s="296">
        <f>+'manip_pt_b+c'!B5/country_split!B51</f>
        <v>0.09529907415937938</v>
      </c>
      <c r="C172" s="296">
        <f>+'manip_pt_b+c'!C5/country_split!C51</f>
        <v>0.11103290341128767</v>
      </c>
      <c r="D172" s="296">
        <f>+'manip_pt_b+c'!D5/country_split!D51</f>
        <v>0.11975726770331986</v>
      </c>
      <c r="E172" s="296">
        <f>+'manip_pt_b+c'!E5/country_split!E51</f>
        <v>0.09686071493491158</v>
      </c>
      <c r="F172" s="296">
        <f>+'manip_pt_b+c'!F5/country_split!F51</f>
        <v>0.18379188396152632</v>
      </c>
      <c r="G172" s="296">
        <f>+'manip_pt_b+c'!G5/country_split!G51</f>
        <v>0.14878909103319155</v>
      </c>
      <c r="H172" s="296">
        <f>+'manip_pt_b+c'!H5/country_split!H51</f>
        <v>0.06019469777151483</v>
      </c>
      <c r="I172" s="296">
        <f>+'manip_pt_b+c'!I5/country_split!I51</f>
        <v>0.16631928247752126</v>
      </c>
      <c r="J172" s="296">
        <f>+'manip_pt_b+c'!J5/country_split!J51</f>
        <v>0.12731697810812526</v>
      </c>
      <c r="K172" s="296">
        <f>+'manip_pt_b+c'!K5/country_split!K51</f>
        <v>0.08298964637949902</v>
      </c>
      <c r="L172" s="296">
        <f>+'manip_pt_b+c'!L5/country_split!L51</f>
        <v>0.0554439576870647</v>
      </c>
      <c r="M172" s="296">
        <f>+'manip_pt_b+c'!M5/country_split!M51</f>
        <v>0.10137411257946632</v>
      </c>
      <c r="N172" s="296">
        <f>+'manip_pt_b+c'!N5/country_split!N51</f>
        <v>0.17710278188084277</v>
      </c>
      <c r="O172" s="296">
        <f>+'manip_pt_b+c'!O5/country_split!O51</f>
        <v>0.1385460491832317</v>
      </c>
      <c r="P172" s="296">
        <f>+'manip_pt_b+c'!P5/country_split!P51</f>
        <v>0.07704644019277014</v>
      </c>
      <c r="Q172" s="296">
        <f>+'manip_pt_b+c'!Q5/country_split!Q51</f>
        <v>0.06812555287390402</v>
      </c>
      <c r="BC172" s="53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</row>
    <row r="173" spans="1:71" ht="11.25">
      <c r="A173" s="53">
        <v>1992</v>
      </c>
      <c r="B173" s="296">
        <f>+'manip_pt_b+c'!B6/country_split!B52</f>
        <v>0.09271264378624404</v>
      </c>
      <c r="C173" s="296">
        <f>+'manip_pt_b+c'!C6/country_split!C52</f>
        <v>0.11227879329435304</v>
      </c>
      <c r="D173" s="296">
        <f>+'manip_pt_b+c'!D6/country_split!D52</f>
        <v>0.11870867460124322</v>
      </c>
      <c r="E173" s="296">
        <f>+'manip_pt_b+c'!E6/country_split!E52</f>
        <v>0.09336817052097757</v>
      </c>
      <c r="F173" s="296">
        <f>+'manip_pt_b+c'!F6/country_split!F52</f>
        <v>0.18165230102359187</v>
      </c>
      <c r="G173" s="296">
        <f>+'manip_pt_b+c'!G6/country_split!G52</f>
        <v>0.14114148992528017</v>
      </c>
      <c r="H173" s="296">
        <f>+'manip_pt_b+c'!H6/country_split!H52</f>
        <v>0.05739034699278831</v>
      </c>
      <c r="I173" s="296">
        <f>+'manip_pt_b+c'!I6/country_split!I52</f>
        <v>0.16938009642060464</v>
      </c>
      <c r="J173" s="296">
        <f>+'manip_pt_b+c'!J6/country_split!J52</f>
        <v>0.11746714414698375</v>
      </c>
      <c r="K173" s="296">
        <f>+'manip_pt_b+c'!K6/country_split!K52</f>
        <v>0.08015459511461102</v>
      </c>
      <c r="L173" s="296">
        <f>+'manip_pt_b+c'!L6/country_split!L52</f>
        <v>0.05756148613291471</v>
      </c>
      <c r="M173" s="296">
        <f>+'manip_pt_b+c'!M6/country_split!M52</f>
        <v>0.10629745234181995</v>
      </c>
      <c r="N173" s="296">
        <f>+'manip_pt_b+c'!N6/country_split!N52</f>
        <v>0.20497244376671464</v>
      </c>
      <c r="O173" s="296">
        <f>+'manip_pt_b+c'!O6/country_split!O52</f>
        <v>0.12872487551902273</v>
      </c>
      <c r="P173" s="296">
        <f>+'manip_pt_b+c'!P6/country_split!P52</f>
        <v>0.07930584850203956</v>
      </c>
      <c r="Q173" s="296">
        <f>+'manip_pt_b+c'!Q6/country_split!Q52</f>
        <v>0.06649810610384851</v>
      </c>
      <c r="BC173" s="53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</row>
    <row r="174" spans="1:71" ht="11.25">
      <c r="A174" s="53">
        <v>1993</v>
      </c>
      <c r="B174" s="296">
        <f>+'manip_pt_b+c'!B7/country_split!B53</f>
        <v>0.09134039267026642</v>
      </c>
      <c r="C174" s="296">
        <f>+'manip_pt_b+c'!C7/country_split!C53</f>
        <v>0.11027244899899233</v>
      </c>
      <c r="D174" s="296">
        <f>+'manip_pt_b+c'!D7/country_split!D53</f>
        <v>0.12154390027089675</v>
      </c>
      <c r="E174" s="296">
        <f>+'manip_pt_b+c'!E7/country_split!E53</f>
        <v>0.09131707159016639</v>
      </c>
      <c r="F174" s="296">
        <f>+'manip_pt_b+c'!F7/country_split!F53</f>
        <v>0.17499493980316566</v>
      </c>
      <c r="G174" s="296">
        <f>+'manip_pt_b+c'!G7/country_split!G53</f>
        <v>0.14480934664568376</v>
      </c>
      <c r="H174" s="296">
        <f>+'manip_pt_b+c'!H7/country_split!H53</f>
        <v>0.056945121754317374</v>
      </c>
      <c r="I174" s="296">
        <f>+'manip_pt_b+c'!I7/country_split!I53</f>
        <v>0.16997340010928264</v>
      </c>
      <c r="J174" s="296">
        <f>+'manip_pt_b+c'!J7/country_split!J53</f>
        <v>0.11360473356548921</v>
      </c>
      <c r="K174" s="296">
        <f>+'manip_pt_b+c'!K7/country_split!K53</f>
        <v>0.07748934521503292</v>
      </c>
      <c r="L174" s="296">
        <f>+'manip_pt_b+c'!L7/country_split!L53</f>
        <v>0.0581586272681497</v>
      </c>
      <c r="M174" s="296">
        <f>+'manip_pt_b+c'!M7/country_split!M53</f>
        <v>0.11731197268339465</v>
      </c>
      <c r="N174" s="296">
        <f>+'manip_pt_b+c'!N7/country_split!N53</f>
        <v>0.17006331632228935</v>
      </c>
      <c r="O174" s="296">
        <f>+'manip_pt_b+c'!O7/country_split!O53</f>
        <v>0.13048011381127927</v>
      </c>
      <c r="P174" s="296">
        <f>+'manip_pt_b+c'!P7/country_split!P53</f>
        <v>0.07742400179078691</v>
      </c>
      <c r="Q174" s="296">
        <f>+'manip_pt_b+c'!Q7/country_split!Q53</f>
        <v>0.066483497011366</v>
      </c>
      <c r="BC174" s="53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</row>
    <row r="175" spans="1:71" ht="11.25">
      <c r="A175" s="53">
        <v>1994</v>
      </c>
      <c r="B175" s="296">
        <f>+'manip_pt_b+c'!B8/country_split!B54</f>
        <v>0.09145204652437544</v>
      </c>
      <c r="C175" s="296">
        <f>+'manip_pt_b+c'!C8/country_split!C54</f>
        <v>0.11096931698385396</v>
      </c>
      <c r="D175" s="296">
        <f>+'manip_pt_b+c'!D8/country_split!D54</f>
        <v>0.12279104164551177</v>
      </c>
      <c r="E175" s="296">
        <f>+'manip_pt_b+c'!E8/country_split!E54</f>
        <v>0.08980172359992128</v>
      </c>
      <c r="F175" s="296">
        <f>+'manip_pt_b+c'!F8/country_split!F54</f>
        <v>0.17297682993077196</v>
      </c>
      <c r="G175" s="296">
        <f>+'manip_pt_b+c'!G8/country_split!G54</f>
        <v>0.1449415130662425</v>
      </c>
      <c r="H175" s="296">
        <f>+'manip_pt_b+c'!H8/country_split!H54</f>
        <v>0.05612536441101578</v>
      </c>
      <c r="I175" s="296">
        <f>+'manip_pt_b+c'!I8/country_split!I54</f>
        <v>0.17782265547408196</v>
      </c>
      <c r="J175" s="296">
        <f>+'manip_pt_b+c'!J8/country_split!J54</f>
        <v>0.11838009212642067</v>
      </c>
      <c r="K175" s="296">
        <f>+'manip_pt_b+c'!K8/country_split!K54</f>
        <v>0.07562866326337683</v>
      </c>
      <c r="L175" s="296">
        <f>+'manip_pt_b+c'!L8/country_split!L54</f>
        <v>0.05352072476417546</v>
      </c>
      <c r="M175" s="296">
        <f>+'manip_pt_b+c'!M8/country_split!M54</f>
        <v>0.12219259542062204</v>
      </c>
      <c r="N175" s="296">
        <f>+'manip_pt_b+c'!N8/country_split!N54</f>
        <v>0.1552563851524995</v>
      </c>
      <c r="O175" s="296">
        <f>+'manip_pt_b+c'!O8/country_split!O54</f>
        <v>0.13060011028199814</v>
      </c>
      <c r="P175" s="296">
        <f>+'manip_pt_b+c'!P8/country_split!P54</f>
        <v>0.07590953013154954</v>
      </c>
      <c r="Q175" s="296">
        <f>+'manip_pt_b+c'!Q8/country_split!Q54</f>
        <v>0.06607265746745955</v>
      </c>
      <c r="BC175" s="53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</row>
    <row r="176" spans="1:71" ht="11.25">
      <c r="A176" s="53">
        <v>1995</v>
      </c>
      <c r="B176" s="296">
        <f>+'manip_pt_b+c'!B9/country_split!B55</f>
        <v>0.09076342514935219</v>
      </c>
      <c r="C176" s="296">
        <f>+'manip_pt_b+c'!C9/country_split!C55</f>
        <v>0.11142654969862828</v>
      </c>
      <c r="D176" s="296">
        <f>+'manip_pt_b+c'!D9/country_split!D55</f>
        <v>0.13069788453385348</v>
      </c>
      <c r="E176" s="296">
        <f>+'manip_pt_b+c'!E9/country_split!E55</f>
        <v>0.08674558038912394</v>
      </c>
      <c r="F176" s="296">
        <f>+'manip_pt_b+c'!F9/country_split!F55</f>
        <v>0.16645313350738858</v>
      </c>
      <c r="G176" s="296">
        <f>+'manip_pt_b+c'!G9/country_split!G55</f>
        <v>0.14660560111491253</v>
      </c>
      <c r="H176" s="296">
        <f>+'manip_pt_b+c'!H9/country_split!H55</f>
        <v>0.056393106301718426</v>
      </c>
      <c r="I176" s="296">
        <f>+'manip_pt_b+c'!I9/country_split!I55</f>
        <v>0.17332559482231014</v>
      </c>
      <c r="J176" s="296">
        <f>+'manip_pt_b+c'!J9/country_split!J55</f>
        <v>0.11599220309107541</v>
      </c>
      <c r="K176" s="296">
        <f>+'manip_pt_b+c'!K9/country_split!K55</f>
        <v>0.15287922541192459</v>
      </c>
      <c r="L176" s="296">
        <f>+'manip_pt_b+c'!L9/country_split!L55</f>
        <v>0.05215741894005263</v>
      </c>
      <c r="M176" s="296">
        <f>+'manip_pt_b+c'!M9/country_split!M55</f>
        <v>0.118776799863875</v>
      </c>
      <c r="N176" s="296">
        <f>+'manip_pt_b+c'!N9/country_split!N55</f>
        <v>0.14308137067830903</v>
      </c>
      <c r="O176" s="296">
        <f>+'manip_pt_b+c'!O9/country_split!O55</f>
        <v>0.12931343343992693</v>
      </c>
      <c r="P176" s="296">
        <f>+'manip_pt_b+c'!P9/country_split!P55</f>
        <v>0.07621001847627601</v>
      </c>
      <c r="Q176" s="296">
        <f>+'manip_pt_b+c'!Q9/country_split!Q55</f>
        <v>0.06543634385409612</v>
      </c>
      <c r="BC176" s="53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</row>
    <row r="177" spans="1:71" ht="11.25">
      <c r="A177" s="53">
        <v>1996</v>
      </c>
      <c r="B177" s="296">
        <f>+'manip_pt_b+c'!B10/country_split!B56</f>
        <v>0.09004672553617503</v>
      </c>
      <c r="C177" s="296">
        <f>+'manip_pt_b+c'!C10/country_split!C56</f>
        <v>0.11127307242495638</v>
      </c>
      <c r="D177" s="296">
        <f>+'manip_pt_b+c'!D10/country_split!D56</f>
        <v>0.13570173267621596</v>
      </c>
      <c r="E177" s="296">
        <f>+'manip_pt_b+c'!E10/country_split!E56</f>
        <v>0.08628330297185244</v>
      </c>
      <c r="F177" s="296">
        <f>+'manip_pt_b+c'!F10/country_split!F56</f>
        <v>0.15461830067725038</v>
      </c>
      <c r="G177" s="296">
        <f>+'manip_pt_b+c'!G10/country_split!G56</f>
        <v>0.13589880461046316</v>
      </c>
      <c r="H177" s="296">
        <f>+'manip_pt_b+c'!H10/country_split!H56</f>
        <v>0.05639928179079499</v>
      </c>
      <c r="I177" s="296">
        <f>+'manip_pt_b+c'!I10/country_split!I56</f>
        <v>0.16686087593522372</v>
      </c>
      <c r="J177" s="296">
        <f>+'manip_pt_b+c'!J10/country_split!J56</f>
        <v>0.11566538344516257</v>
      </c>
      <c r="K177" s="296">
        <f>+'manip_pt_b+c'!K10/country_split!K56</f>
        <v>0.15040106951871657</v>
      </c>
      <c r="L177" s="296">
        <f>+'manip_pt_b+c'!L10/country_split!L56</f>
        <v>0.05106955155762132</v>
      </c>
      <c r="M177" s="296">
        <f>+'manip_pt_b+c'!M10/country_split!M56</f>
        <v>0.14200867913876256</v>
      </c>
      <c r="N177" s="296">
        <f>+'manip_pt_b+c'!N10/country_split!N56</f>
        <v>0.13456371411309717</v>
      </c>
      <c r="O177" s="296">
        <f>+'manip_pt_b+c'!O10/country_split!O56</f>
        <v>0.12804325608494366</v>
      </c>
      <c r="P177" s="296">
        <f>+'manip_pt_b+c'!P10/country_split!P56</f>
        <v>0.0776927574615909</v>
      </c>
      <c r="Q177" s="296">
        <f>+'manip_pt_b+c'!Q10/country_split!Q56</f>
        <v>0.06412632409978103</v>
      </c>
      <c r="BC177" s="53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</row>
    <row r="178" spans="1:71" ht="11.25">
      <c r="A178" s="53">
        <v>1997</v>
      </c>
      <c r="B178" s="296">
        <f>+'manip_pt_b+c'!B11/country_split!B57</f>
        <v>0.08999616314084488</v>
      </c>
      <c r="C178" s="296">
        <f>+'manip_pt_b+c'!C11/country_split!C57</f>
        <v>0.11109252133177178</v>
      </c>
      <c r="D178" s="296">
        <f>+'manip_pt_b+c'!D11/country_split!D57</f>
        <v>0.12999959759670404</v>
      </c>
      <c r="E178" s="296">
        <f>+'manip_pt_b+c'!E11/country_split!E57</f>
        <v>0.08559710275062046</v>
      </c>
      <c r="F178" s="296">
        <f>+'manip_pt_b+c'!F11/country_split!F57</f>
        <v>0.14918561684692602</v>
      </c>
      <c r="G178" s="296">
        <f>+'manip_pt_b+c'!G11/country_split!G57</f>
        <v>0.1496121851697627</v>
      </c>
      <c r="H178" s="296">
        <f>+'manip_pt_b+c'!H11/country_split!H57</f>
        <v>0.05442883645146245</v>
      </c>
      <c r="I178" s="296">
        <f>+'manip_pt_b+c'!I11/country_split!I57</f>
        <v>0.1615453700318594</v>
      </c>
      <c r="J178" s="296">
        <f>+'manip_pt_b+c'!J11/country_split!J57</f>
        <v>0.11546570543080154</v>
      </c>
      <c r="K178" s="296">
        <f>+'manip_pt_b+c'!K11/country_split!K57</f>
        <v>0.14766201804757997</v>
      </c>
      <c r="L178" s="296">
        <f>+'manip_pt_b+c'!L11/country_split!L57</f>
        <v>0.050409577819785764</v>
      </c>
      <c r="M178" s="296">
        <f>+'manip_pt_b+c'!M11/country_split!M57</f>
        <v>0.14464377001344447</v>
      </c>
      <c r="N178" s="296">
        <f>+'manip_pt_b+c'!N11/country_split!N57</f>
        <v>0.11998903574618393</v>
      </c>
      <c r="O178" s="296">
        <f>+'manip_pt_b+c'!O11/country_split!O57</f>
        <v>0.1242704663438762</v>
      </c>
      <c r="P178" s="296">
        <f>+'manip_pt_b+c'!P11/country_split!P57</f>
        <v>0.07889042304222854</v>
      </c>
      <c r="Q178" s="296">
        <f>+'manip_pt_b+c'!Q11/country_split!Q57</f>
        <v>0.06333951402795121</v>
      </c>
      <c r="BC178" s="53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</row>
    <row r="179" spans="1:17" ht="11.25">
      <c r="A179" s="53">
        <v>1998</v>
      </c>
      <c r="B179" s="296">
        <f>+'manip_pt_b+c'!B12/country_split!B58</f>
        <v>0.08785656395194226</v>
      </c>
      <c r="C179" s="296">
        <f>+'manip_pt_b+c'!C12/country_split!C58</f>
        <v>0.11031345856568225</v>
      </c>
      <c r="D179" s="296">
        <f>+'manip_pt_b+c'!D12/country_split!D58</f>
        <v>0.1266582477965052</v>
      </c>
      <c r="E179" s="296">
        <f>+'manip_pt_b+c'!E12/country_split!E58</f>
        <v>0.08485643419115763</v>
      </c>
      <c r="F179" s="296">
        <f>+'manip_pt_b+c'!F12/country_split!F58</f>
        <v>0.14492185835053578</v>
      </c>
      <c r="G179" s="296">
        <f>+'manip_pt_b+c'!G12/country_split!G58</f>
        <v>0.12390603751912159</v>
      </c>
      <c r="H179" s="296">
        <f>+'manip_pt_b+c'!H12/country_split!H58</f>
        <v>0.053769625159212076</v>
      </c>
      <c r="I179" s="296">
        <f>+'manip_pt_b+c'!I12/country_split!I58</f>
        <v>0.15971171642910156</v>
      </c>
      <c r="J179" s="296">
        <f>+'manip_pt_b+c'!J12/country_split!J58</f>
        <v>0.113033859167583</v>
      </c>
      <c r="K179" s="296">
        <f>+'manip_pt_b+c'!K12/country_split!K58</f>
        <v>0.14527845036319612</v>
      </c>
      <c r="L179" s="296">
        <f>+'manip_pt_b+c'!L12/country_split!L58</f>
        <v>0.048811013767209005</v>
      </c>
      <c r="M179" s="296">
        <f>+'manip_pt_b+c'!M12/country_split!M58</f>
        <v>0.1440510452583929</v>
      </c>
      <c r="N179" s="296">
        <f>+'manip_pt_b+c'!N12/country_split!N58</f>
        <v>0.12268702456156809</v>
      </c>
      <c r="O179" s="296">
        <f>+'manip_pt_b+c'!O12/country_split!O58</f>
        <v>0.11867906909598867</v>
      </c>
      <c r="P179" s="296">
        <f>+'manip_pt_b+c'!P12/country_split!P58</f>
        <v>0.07935362199982544</v>
      </c>
      <c r="Q179" s="296">
        <f>+'manip_pt_b+c'!Q12/country_split!Q58</f>
        <v>0.06388228614986638</v>
      </c>
    </row>
    <row r="180" spans="1:17" ht="11.25">
      <c r="A180" s="53">
        <v>1999</v>
      </c>
      <c r="B180" s="296">
        <f>+'manip_pt_b+c'!B13/country_split!B59</f>
        <v>0.08752031981711914</v>
      </c>
      <c r="C180" s="296">
        <f>+'manip_pt_b+c'!C13/country_split!C59</f>
        <v>0.10722177182189582</v>
      </c>
      <c r="D180" s="296">
        <f>+'manip_pt_b+c'!D13/country_split!D59</f>
        <v>0.12386950776515568</v>
      </c>
      <c r="E180" s="296">
        <f>+'manip_pt_b+c'!E13/country_split!E59</f>
        <v>0.08459550285579567</v>
      </c>
      <c r="F180" s="296">
        <f>+'manip_pt_b+c'!F13/country_split!F59</f>
        <v>0.1365225287902914</v>
      </c>
      <c r="G180" s="296">
        <f>+'manip_pt_b+c'!G13/country_split!G59</f>
        <v>0.12439372113270451</v>
      </c>
      <c r="H180" s="296">
        <f>+'manip_pt_b+c'!H13/country_split!H59</f>
        <v>0.052443590326481236</v>
      </c>
      <c r="I180" s="296">
        <f>+'manip_pt_b+c'!I13/country_split!I59</f>
        <v>0.15352206017029138</v>
      </c>
      <c r="J180" s="296">
        <f>+'manip_pt_b+c'!J13/country_split!J59</f>
        <v>0.11510385434535395</v>
      </c>
      <c r="K180" s="296">
        <f>+'manip_pt_b+c'!K13/country_split!K59</f>
        <v>0.14492753623188406</v>
      </c>
      <c r="L180" s="296">
        <f>+'manip_pt_b+c'!L13/country_split!L59</f>
        <v>0.045787545787545784</v>
      </c>
      <c r="M180" s="296">
        <f>+'manip_pt_b+c'!M13/country_split!M59</f>
        <v>0.14332815600183152</v>
      </c>
      <c r="N180" s="296">
        <f>+'manip_pt_b+c'!N13/country_split!N59</f>
        <v>0.11625507920659973</v>
      </c>
      <c r="O180" s="296">
        <f>+'manip_pt_b+c'!O13/country_split!O59</f>
        <v>0.11322157450212003</v>
      </c>
      <c r="P180" s="296">
        <f>+'manip_pt_b+c'!P13/country_split!P59</f>
        <v>0.07920269422143991</v>
      </c>
      <c r="Q180" s="296">
        <f>+'manip_pt_b+c'!Q13/country_split!Q59</f>
        <v>0.06404254747762236</v>
      </c>
    </row>
    <row r="181" spans="1:55" ht="11.25">
      <c r="A181" s="53">
        <v>2000</v>
      </c>
      <c r="B181" s="296">
        <f>+'manip_pt_b+c'!B14/country_split!B60</f>
        <v>0.08985354627011155</v>
      </c>
      <c r="C181" s="296">
        <f>+'manip_pt_b+c'!C14/country_split!C60</f>
        <v>0.10381576047602557</v>
      </c>
      <c r="D181" s="296">
        <f>+'manip_pt_b+c'!D14/country_split!D60</f>
        <v>0.12373999075167877</v>
      </c>
      <c r="E181" s="296">
        <f>+'manip_pt_b+c'!E14/country_split!E60</f>
        <v>0.08858874777449986</v>
      </c>
      <c r="F181" s="296">
        <f>+'manip_pt_b+c'!F14/country_split!F60</f>
        <v>0.14174977616088075</v>
      </c>
      <c r="G181" s="296">
        <f>+'manip_pt_b+c'!G14/country_split!G60</f>
        <v>0.13085334518555763</v>
      </c>
      <c r="H181" s="296">
        <f>+'manip_pt_b+c'!H14/country_split!H60</f>
        <v>0.05496775716346667</v>
      </c>
      <c r="I181" s="296">
        <f>+'manip_pt_b+c'!I14/country_split!I60</f>
        <v>0.1563882652615673</v>
      </c>
      <c r="J181" s="296">
        <f>+'manip_pt_b+c'!J14/country_split!J60</f>
        <v>0.11597571683564699</v>
      </c>
      <c r="K181" s="296">
        <f>+'manip_pt_b+c'!K14/country_split!K60</f>
        <v>0.13247771791700877</v>
      </c>
      <c r="L181" s="296">
        <f>+'manip_pt_b+c'!L14/country_split!L60</f>
        <v>0.04573170731707317</v>
      </c>
      <c r="M181" s="296">
        <f>+'manip_pt_b+c'!M14/country_split!M60</f>
        <v>0.14797765033800628</v>
      </c>
      <c r="N181" s="296">
        <f>+'manip_pt_b+c'!N14/country_split!N60</f>
        <v>0.1204473083911479</v>
      </c>
      <c r="O181" s="296">
        <f>+'manip_pt_b+c'!O14/country_split!O60</f>
        <v>0.11308777610288745</v>
      </c>
      <c r="P181" s="296">
        <f>+'manip_pt_b+c'!P14/country_split!P60</f>
        <v>0.07817981557496975</v>
      </c>
      <c r="Q181" s="296">
        <f>+'manip_pt_b+c'!Q14/country_split!Q60</f>
        <v>0.06407565387962427</v>
      </c>
      <c r="BC181" s="2"/>
    </row>
    <row r="182" spans="1:55" ht="11.25">
      <c r="A182" s="53">
        <v>2001</v>
      </c>
      <c r="B182" s="296" t="e">
        <f>+'manip_pt_b+c'!B15/country_split!B61</f>
        <v>#N/A</v>
      </c>
      <c r="C182" s="296" t="e">
        <f>+'manip_pt_b+c'!C15/country_split!C61</f>
        <v>#N/A</v>
      </c>
      <c r="D182" s="296" t="e">
        <f>+'manip_pt_b+c'!D15/country_split!D61</f>
        <v>#N/A</v>
      </c>
      <c r="E182" s="296" t="e">
        <f>+'manip_pt_b+c'!E15/country_split!E61</f>
        <v>#N/A</v>
      </c>
      <c r="F182" s="296" t="e">
        <f>+'manip_pt_b+c'!F15/country_split!F61</f>
        <v>#N/A</v>
      </c>
      <c r="G182" s="296" t="e">
        <f>+'manip_pt_b+c'!G15/country_split!G61</f>
        <v>#N/A</v>
      </c>
      <c r="H182" s="296" t="e">
        <f>+'manip_pt_b+c'!H15/country_split!H61</f>
        <v>#N/A</v>
      </c>
      <c r="I182" s="296" t="e">
        <f>+'manip_pt_b+c'!I15/country_split!I61</f>
        <v>#N/A</v>
      </c>
      <c r="J182" s="296" t="e">
        <f>+'manip_pt_b+c'!J15/country_split!J61</f>
        <v>#N/A</v>
      </c>
      <c r="K182" s="296" t="e">
        <f>+'manip_pt_b+c'!K15/country_split!K61</f>
        <v>#N/A</v>
      </c>
      <c r="L182" s="296" t="e">
        <f>+'manip_pt_b+c'!L15/country_split!L61</f>
        <v>#N/A</v>
      </c>
      <c r="M182" s="296" t="e">
        <f>+'manip_pt_b+c'!M15/country_split!M61</f>
        <v>#N/A</v>
      </c>
      <c r="N182" s="296" t="e">
        <f>+'manip_pt_b+c'!N15/country_split!N61</f>
        <v>#N/A</v>
      </c>
      <c r="O182" s="296" t="e">
        <f>+'manip_pt_b+c'!O15/country_split!O61</f>
        <v>#N/A</v>
      </c>
      <c r="P182" s="296" t="e">
        <f>+'manip_pt_b+c'!P15/country_split!P61</f>
        <v>#N/A</v>
      </c>
      <c r="Q182" s="296" t="e">
        <f>+'manip_pt_b+c'!Q15/country_split!Q61</f>
        <v>#N/A</v>
      </c>
      <c r="BC182" s="29"/>
    </row>
    <row r="183" ht="11.25">
      <c r="BC183" s="2"/>
    </row>
    <row r="184" spans="2:71" ht="11.25">
      <c r="B184" s="295">
        <f>+B181/B172-1</f>
        <v>-0.05714145638141943</v>
      </c>
      <c r="C184" s="295">
        <f aca="true" t="shared" si="5" ref="C184:P184">+C181/C172-1</f>
        <v>-0.06500003794846632</v>
      </c>
      <c r="D184" s="295">
        <f t="shared" si="5"/>
        <v>0.03325662921957684</v>
      </c>
      <c r="E184" s="295">
        <f t="shared" si="5"/>
        <v>-0.08540064117811141</v>
      </c>
      <c r="F184" s="295">
        <f t="shared" si="5"/>
        <v>-0.22874844576622533</v>
      </c>
      <c r="G184" s="295">
        <f t="shared" si="5"/>
        <v>-0.12054476388751412</v>
      </c>
      <c r="H184" s="295">
        <f t="shared" si="5"/>
        <v>-0.08683390400743296</v>
      </c>
      <c r="I184" s="295">
        <f t="shared" si="5"/>
        <v>-0.05971055831903427</v>
      </c>
      <c r="J184" s="295">
        <f t="shared" si="5"/>
        <v>-0.0890789385752353</v>
      </c>
      <c r="K184" s="295">
        <f t="shared" si="5"/>
        <v>0.5963162116778802</v>
      </c>
      <c r="L184" s="295">
        <f t="shared" si="5"/>
        <v>-0.17517238622843545</v>
      </c>
      <c r="M184" s="295">
        <f t="shared" si="5"/>
        <v>0.45971833018027985</v>
      </c>
      <c r="N184" s="295">
        <f t="shared" si="5"/>
        <v>-0.3199016576024959</v>
      </c>
      <c r="O184" s="295">
        <f t="shared" si="5"/>
        <v>-0.18375315088685684</v>
      </c>
      <c r="P184" s="295">
        <f t="shared" si="5"/>
        <v>0.01471028874746061</v>
      </c>
      <c r="Q184" s="295">
        <f>+Q181/Q172-1</f>
        <v>-0.059447576180054695</v>
      </c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</row>
    <row r="185" spans="55:71" ht="11.25" customHeight="1" hidden="1" outlineLevel="1">
      <c r="BC185" s="53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</row>
    <row r="186" spans="55:71" ht="11.25" customHeight="1" hidden="1" outlineLevel="1">
      <c r="BC186" s="53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</row>
    <row r="187" spans="55:71" ht="11.25" customHeight="1" hidden="1" outlineLevel="1">
      <c r="BC187" s="53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</row>
    <row r="188" spans="55:71" ht="11.25" customHeight="1" hidden="1" outlineLevel="1">
      <c r="BC188" s="53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</row>
    <row r="189" spans="55:71" ht="11.25" customHeight="1" hidden="1" outlineLevel="1">
      <c r="BC189" s="53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</row>
    <row r="190" spans="55:71" ht="11.25" customHeight="1" hidden="1" outlineLevel="1">
      <c r="BC190" s="53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</row>
    <row r="191" spans="55:71" ht="11.25" customHeight="1" hidden="1" outlineLevel="1">
      <c r="BC191" s="53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</row>
    <row r="192" spans="55:71" ht="11.25" customHeight="1" hidden="1" outlineLevel="1">
      <c r="BC192" s="53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</row>
    <row r="193" spans="55:71" ht="11.25" customHeight="1" hidden="1" outlineLevel="1">
      <c r="BC193" s="53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</row>
    <row r="194" spans="55:71" ht="11.25" customHeight="1" hidden="1" outlineLevel="1">
      <c r="BC194" s="53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</row>
    <row r="195" spans="55:71" ht="11.25" customHeight="1" hidden="1" outlineLevel="1">
      <c r="BC195" s="53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</row>
    <row r="196" spans="55:71" ht="11.25" collapsed="1">
      <c r="BC196" s="53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</row>
    <row r="197" spans="55:71" ht="11.25">
      <c r="BC197" s="53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</row>
    <row r="198" spans="55:71" ht="11.25">
      <c r="BC198" s="53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</row>
    <row r="199" spans="55:71" ht="11.25">
      <c r="BC199" s="53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</row>
    <row r="200" spans="55:71" ht="11.25">
      <c r="BC200" s="53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</row>
    <row r="201" spans="55:71" ht="11.25">
      <c r="BC201" s="53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</row>
    <row r="202" spans="1:71" ht="11.25">
      <c r="A202" s="6" t="s">
        <v>381</v>
      </c>
      <c r="B202" s="296">
        <f>+B181+B154+B124+B93</f>
        <v>1</v>
      </c>
      <c r="C202" s="296">
        <f aca="true" t="shared" si="6" ref="C202:K202">+C181+C154+C124+C93</f>
        <v>1</v>
      </c>
      <c r="D202" s="296">
        <f t="shared" si="6"/>
        <v>1</v>
      </c>
      <c r="E202" s="296">
        <f t="shared" si="6"/>
        <v>0.9999999999999999</v>
      </c>
      <c r="F202" s="296">
        <f t="shared" si="6"/>
        <v>0.9999999999999998</v>
      </c>
      <c r="G202" s="296">
        <f t="shared" si="6"/>
        <v>0.9999999999999998</v>
      </c>
      <c r="H202" s="296">
        <f t="shared" si="6"/>
        <v>1</v>
      </c>
      <c r="I202" s="296">
        <f t="shared" si="6"/>
        <v>1</v>
      </c>
      <c r="J202" s="296">
        <f t="shared" si="6"/>
        <v>1.0000000000000002</v>
      </c>
      <c r="K202" s="296">
        <f t="shared" si="6"/>
        <v>1</v>
      </c>
      <c r="BC202" s="53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</row>
    <row r="203" spans="55:71" ht="11.25">
      <c r="BC203" s="53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</row>
    <row r="204" spans="55:71" ht="11.25">
      <c r="BC204" s="53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</row>
    <row r="205" spans="55:71" ht="11.25">
      <c r="BC205" s="53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</row>
    <row r="206" spans="55:71" ht="11.25">
      <c r="BC206" s="53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</row>
    <row r="209" spans="55:71" ht="11.25"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</row>
    <row r="210" spans="55:71" ht="11.25">
      <c r="BC210" s="53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</row>
    <row r="211" spans="55:71" ht="11.25">
      <c r="BC211" s="53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</row>
    <row r="212" spans="55:71" ht="11.25">
      <c r="BC212" s="53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</row>
    <row r="213" spans="55:71" ht="11.25">
      <c r="BC213" s="53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</row>
    <row r="214" spans="55:71" ht="11.25">
      <c r="BC214" s="53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</row>
    <row r="215" spans="55:71" ht="11.25">
      <c r="BC215" s="53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</row>
    <row r="216" spans="55:71" ht="11.25">
      <c r="BC216" s="53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</row>
    <row r="217" spans="55:71" ht="11.25">
      <c r="BC217" s="53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</row>
    <row r="218" spans="55:71" ht="11.25">
      <c r="BC218" s="53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</row>
    <row r="219" spans="55:71" ht="11.25">
      <c r="BC219" s="53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</row>
    <row r="220" spans="55:71" ht="11.25">
      <c r="BC220" s="53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</row>
    <row r="221" spans="55:71" ht="11.25">
      <c r="BC221" s="53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</row>
    <row r="222" spans="55:71" ht="11.25">
      <c r="BC222" s="53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</row>
    <row r="223" spans="55:71" ht="11.25">
      <c r="BC223" s="53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</row>
    <row r="224" spans="55:71" ht="11.25">
      <c r="BC224" s="53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</row>
    <row r="225" spans="55:71" ht="11.25">
      <c r="BC225" s="53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</row>
    <row r="226" spans="55:71" ht="11.25">
      <c r="BC226" s="53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</row>
    <row r="227" spans="55:71" ht="11.25">
      <c r="BC227" s="53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</row>
    <row r="228" spans="55:71" ht="11.25">
      <c r="BC228" s="53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</row>
    <row r="229" spans="55:71" ht="11.25">
      <c r="BC229" s="53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</row>
    <row r="230" spans="55:71" ht="11.25">
      <c r="BC230" s="53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</row>
    <row r="231" spans="55:71" ht="11.25">
      <c r="BC231" s="53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</row>
  </sheetData>
  <conditionalFormatting sqref="B66:Q66 T32:AI32 B97:Q97 BD94:BS94 T63:AI63 B32:Q32 AL32:BA32 AL63:BA63 B34:Q34">
    <cfRule type="cellIs" priority="1" dxfId="0" operator="lessThanOrEqual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S58"/>
  <sheetViews>
    <sheetView workbookViewId="0" topLeftCell="A29">
      <selection activeCell="B58" sqref="B58:Q58"/>
    </sheetView>
  </sheetViews>
  <sheetFormatPr defaultColWidth="9.140625" defaultRowHeight="12.75"/>
  <cols>
    <col min="1" max="1" width="8.28125" style="140" customWidth="1"/>
    <col min="2" max="3" width="6.8515625" style="140" customWidth="1"/>
    <col min="4" max="4" width="7.140625" style="140" customWidth="1"/>
    <col min="5" max="18" width="6.8515625" style="140" customWidth="1"/>
    <col min="19" max="16384" width="9.140625" style="140" customWidth="1"/>
  </cols>
  <sheetData>
    <row r="1" spans="1:17" ht="11.25">
      <c r="A1" s="144" t="s">
        <v>366</v>
      </c>
      <c r="B1" s="145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1.25">
      <c r="A2" s="146" t="s">
        <v>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47"/>
    </row>
    <row r="3" spans="1:17" ht="11.25">
      <c r="A3" s="14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47"/>
    </row>
    <row r="4" spans="1:19" ht="11.25">
      <c r="A4" s="270"/>
      <c r="B4" s="270" t="s">
        <v>5</v>
      </c>
      <c r="C4" s="270" t="s">
        <v>7</v>
      </c>
      <c r="D4" s="270" t="s">
        <v>8</v>
      </c>
      <c r="E4" s="270" t="s">
        <v>9</v>
      </c>
      <c r="F4" s="270" t="s">
        <v>10</v>
      </c>
      <c r="G4" s="270" t="s">
        <v>11</v>
      </c>
      <c r="H4" s="270" t="s">
        <v>12</v>
      </c>
      <c r="I4" s="270" t="s">
        <v>13</v>
      </c>
      <c r="J4" s="270" t="s">
        <v>14</v>
      </c>
      <c r="K4" s="270" t="s">
        <v>15</v>
      </c>
      <c r="L4" s="270" t="s">
        <v>16</v>
      </c>
      <c r="M4" s="270" t="s">
        <v>17</v>
      </c>
      <c r="N4" s="270" t="s">
        <v>18</v>
      </c>
      <c r="O4" s="270" t="s">
        <v>19</v>
      </c>
      <c r="P4" s="270" t="s">
        <v>20</v>
      </c>
      <c r="Q4" s="270" t="s">
        <v>21</v>
      </c>
      <c r="R4" s="366" t="s">
        <v>112</v>
      </c>
      <c r="S4" s="366" t="s">
        <v>113</v>
      </c>
    </row>
    <row r="5" spans="1:19" ht="11.25">
      <c r="A5" s="271">
        <v>1991</v>
      </c>
      <c r="B5" s="137">
        <f>IF(basedata_pt_pc!S6=":",NA(),basedata_pt_pc!S6)</f>
        <v>3150.0248260856574</v>
      </c>
      <c r="C5" s="137">
        <f>IF(basedata_pt_pc!B6=":",NA(),basedata_pt_pc!B6)</f>
        <v>82.9</v>
      </c>
      <c r="D5" s="137">
        <f>IF(basedata_pt_pc!C6=":",NA(),basedata_pt_pc!C6)</f>
        <v>51.171</v>
      </c>
      <c r="E5" s="137">
        <f>IF(basedata_pt_pc!D6=":",NA(),basedata_pt_pc!D6)</f>
        <v>699.9</v>
      </c>
      <c r="F5" s="137">
        <f>IF(basedata_pt_pc!E6=":",NA(),basedata_pt_pc!E6)</f>
        <v>19.62</v>
      </c>
      <c r="G5" s="137">
        <f>IF(basedata_pt_pc!F6=":",NA(),basedata_pt_pc!F6)</f>
        <v>182.85</v>
      </c>
      <c r="H5" s="137">
        <f>IF(basedata_pt_pc!G6=":",NA(),basedata_pt_pc!G6)</f>
        <v>599.1</v>
      </c>
      <c r="I5" s="137">
        <f>IF(basedata_pt_pc!H6=":",NA(),basedata_pt_pc!H6)</f>
        <v>19.2</v>
      </c>
      <c r="J5" s="137">
        <f>IF(basedata_pt_pc!I6=":",NA(),basedata_pt_pc!I6)</f>
        <v>538.265</v>
      </c>
      <c r="K5" s="137">
        <f>IF(basedata_pt_pc!J6=":",NA(),basedata_pt_pc!J6)</f>
        <v>4.15</v>
      </c>
      <c r="L5" s="137">
        <f>IF(basedata_pt_pc!K6=":",NA(),basedata_pt_pc!K6)</f>
        <v>124.5</v>
      </c>
      <c r="M5" s="137">
        <f>IF(basedata_pt_pc!L6=":",NA(),basedata_pt_pc!L6)</f>
        <v>70.4</v>
      </c>
      <c r="N5" s="137">
        <f>IF(basedata_pt_pc!M6=":",NA(),basedata_pt_pc!M6)</f>
        <v>43.2</v>
      </c>
      <c r="O5" s="137">
        <f>IF(basedata_pt_pc!N6=":",NA(),basedata_pt_pc!N6)</f>
        <v>46.4</v>
      </c>
      <c r="P5" s="137">
        <f>IF(basedata_pt_pc!O6=":",NA(),basedata_pt_pc!O6)</f>
        <v>86.36882608565693</v>
      </c>
      <c r="Q5" s="137">
        <f>IF(basedata_pt_pc!P6=":",NA(),basedata_pt_pc!P6)</f>
        <v>582</v>
      </c>
      <c r="R5" s="137" t="e">
        <f>IF(basedata_pt_pc!Q6=":",NA(),basedata_pt_pc!Q6)</f>
        <v>#N/A</v>
      </c>
      <c r="S5" s="137">
        <f>IF(basedata_pt_pc!R6=":",NA(),basedata_pt_pc!R6)</f>
        <v>43.01</v>
      </c>
    </row>
    <row r="6" spans="1:19" ht="11.25">
      <c r="A6" s="271">
        <v>1992</v>
      </c>
      <c r="B6" s="137">
        <f>IF(basedata_pt_pc!S7=":",NA(),basedata_pt_pc!S7)</f>
        <v>3268.71893006312</v>
      </c>
      <c r="C6" s="137">
        <f>IF(basedata_pt_pc!B7=":",NA(),basedata_pt_pc!B7)</f>
        <v>84.6</v>
      </c>
      <c r="D6" s="137">
        <f>IF(basedata_pt_pc!C7=":",NA(),basedata_pt_pc!C7)</f>
        <v>51.998</v>
      </c>
      <c r="E6" s="137">
        <f>IF(basedata_pt_pc!D7=":",NA(),basedata_pt_pc!D7)</f>
        <v>719.1</v>
      </c>
      <c r="F6" s="137">
        <f>IF(basedata_pt_pc!E7=":",NA(),basedata_pt_pc!E7)</f>
        <v>20.205</v>
      </c>
      <c r="G6" s="137">
        <f>IF(basedata_pt_pc!F7=":",NA(),basedata_pt_pc!F7)</f>
        <v>193.769</v>
      </c>
      <c r="H6" s="137">
        <f>IF(basedata_pt_pc!G7=":",NA(),basedata_pt_pc!G7)</f>
        <v>617</v>
      </c>
      <c r="I6" s="137">
        <f>IF(basedata_pt_pc!H7=":",NA(),basedata_pt_pc!H7)</f>
        <v>19.8</v>
      </c>
      <c r="J6" s="137">
        <f>IF(basedata_pt_pc!I7=":",NA(),basedata_pt_pc!I7)</f>
        <v>590.449</v>
      </c>
      <c r="K6" s="137">
        <f>IF(basedata_pt_pc!J7=":",NA(),basedata_pt_pc!J7)</f>
        <v>4.3</v>
      </c>
      <c r="L6" s="137">
        <f>IF(basedata_pt_pc!K7=":",NA(),basedata_pt_pc!K7)</f>
        <v>129.1</v>
      </c>
      <c r="M6" s="137">
        <f>IF(basedata_pt_pc!L7=":",NA(),basedata_pt_pc!L7)</f>
        <v>69.3</v>
      </c>
      <c r="N6" s="137">
        <f>IF(basedata_pt_pc!M7=":",NA(),basedata_pt_pc!M7)</f>
        <v>48.4</v>
      </c>
      <c r="O6" s="137">
        <f>IF(basedata_pt_pc!N7=":",NA(),basedata_pt_pc!N7)</f>
        <v>50.4</v>
      </c>
      <c r="P6" s="137">
        <f>IF(basedata_pt_pc!O7=":",NA(),basedata_pt_pc!O7)</f>
        <v>87.29793006311945</v>
      </c>
      <c r="Q6" s="137">
        <f>IF(basedata_pt_pc!P7=":",NA(),basedata_pt_pc!P7)</f>
        <v>583</v>
      </c>
      <c r="R6" s="137" t="e">
        <f>IF(basedata_pt_pc!Q7=":",NA(),basedata_pt_pc!Q7)</f>
        <v>#N/A</v>
      </c>
      <c r="S6" s="137">
        <f>IF(basedata_pt_pc!R7=":",NA(),basedata_pt_pc!R7)</f>
        <v>43.17</v>
      </c>
    </row>
    <row r="7" spans="1:19" ht="11.25">
      <c r="A7" s="271">
        <v>1993</v>
      </c>
      <c r="B7" s="137">
        <f>IF(basedata_pt_pc!S8=":",NA(),basedata_pt_pc!S8)</f>
        <v>3297.737454114875</v>
      </c>
      <c r="C7" s="137">
        <f>IF(basedata_pt_pc!B8=":",NA(),basedata_pt_pc!B8)</f>
        <v>86.9</v>
      </c>
      <c r="D7" s="137">
        <f>IF(basedata_pt_pc!C8=":",NA(),basedata_pt_pc!C8)</f>
        <v>51.868</v>
      </c>
      <c r="E7" s="137">
        <f>IF(basedata_pt_pc!D8=":",NA(),basedata_pt_pc!D8)</f>
        <v>729.5</v>
      </c>
      <c r="F7" s="137">
        <f>IF(basedata_pt_pc!E8=":",NA(),basedata_pt_pc!E8)</f>
        <v>21.656</v>
      </c>
      <c r="G7" s="137">
        <f>IF(basedata_pt_pc!F8=":",NA(),basedata_pt_pc!F8)</f>
        <v>198.433</v>
      </c>
      <c r="H7" s="137">
        <f>IF(basedata_pt_pc!G8=":",NA(),basedata_pt_pc!G8)</f>
        <v>629.8</v>
      </c>
      <c r="I7" s="137">
        <f>IF(basedata_pt_pc!H8=":",NA(),basedata_pt_pc!H8)</f>
        <v>20.6</v>
      </c>
      <c r="J7" s="137">
        <f>IF(basedata_pt_pc!I8=":",NA(),basedata_pt_pc!I8)</f>
        <v>588.279</v>
      </c>
      <c r="K7" s="137">
        <f>IF(basedata_pt_pc!J8=":",NA(),basedata_pt_pc!J8)</f>
        <v>4.5</v>
      </c>
      <c r="L7" s="137">
        <f>IF(basedata_pt_pc!K8=":",NA(),basedata_pt_pc!K8)</f>
        <v>126.1</v>
      </c>
      <c r="M7" s="137">
        <f>IF(basedata_pt_pc!L8=":",NA(),basedata_pt_pc!L8)</f>
        <v>67.9</v>
      </c>
      <c r="N7" s="137">
        <f>IF(basedata_pt_pc!M8=":",NA(),basedata_pt_pc!M8)</f>
        <v>53</v>
      </c>
      <c r="O7" s="137">
        <f>IF(basedata_pt_pc!N8=":",NA(),basedata_pt_pc!N8)</f>
        <v>49.7</v>
      </c>
      <c r="P7" s="137">
        <f>IF(basedata_pt_pc!O8=":",NA(),basedata_pt_pc!O8)</f>
        <v>85.50145411487537</v>
      </c>
      <c r="Q7" s="137">
        <f>IF(basedata_pt_pc!P8=":",NA(),basedata_pt_pc!P8)</f>
        <v>584</v>
      </c>
      <c r="R7" s="137" t="e">
        <f>IF(basedata_pt_pc!Q8=":",NA(),basedata_pt_pc!Q8)</f>
        <v>#N/A</v>
      </c>
      <c r="S7" s="137">
        <f>IF(basedata_pt_pc!R8=":",NA(),basedata_pt_pc!R8)</f>
        <v>43.94</v>
      </c>
    </row>
    <row r="8" spans="1:19" ht="11.25">
      <c r="A8" s="271">
        <v>1994</v>
      </c>
      <c r="B8" s="137">
        <f>IF(basedata_pt_pc!S9=":",NA(),basedata_pt_pc!S9)</f>
        <v>3344.4138374320937</v>
      </c>
      <c r="C8" s="137">
        <f>IF(basedata_pt_pc!B9=":",NA(),basedata_pt_pc!B9)</f>
        <v>89.5</v>
      </c>
      <c r="D8" s="137">
        <f>IF(basedata_pt_pc!C9=":",NA(),basedata_pt_pc!C9)</f>
        <v>52.468</v>
      </c>
      <c r="E8" s="137">
        <f>IF(basedata_pt_pc!D9=":",NA(),basedata_pt_pc!D9)</f>
        <v>719.2</v>
      </c>
      <c r="F8" s="137">
        <f>IF(basedata_pt_pc!E9=":",NA(),basedata_pt_pc!E9)</f>
        <v>24.237</v>
      </c>
      <c r="G8" s="137">
        <f>IF(basedata_pt_pc!F9=":",NA(),basedata_pt_pc!F9)</f>
        <v>205.172</v>
      </c>
      <c r="H8" s="137">
        <f>IF(basedata_pt_pc!G9=":",NA(),basedata_pt_pc!G9)</f>
        <v>651.2</v>
      </c>
      <c r="I8" s="137">
        <f>IF(basedata_pt_pc!H9=":",NA(),basedata_pt_pc!H9)</f>
        <v>21.8</v>
      </c>
      <c r="J8" s="137">
        <f>IF(basedata_pt_pc!I9=":",NA(),basedata_pt_pc!I9)</f>
        <v>594.178</v>
      </c>
      <c r="K8" s="137">
        <f>IF(basedata_pt_pc!J9=":",NA(),basedata_pt_pc!J9)</f>
        <v>4.6</v>
      </c>
      <c r="L8" s="137">
        <f>IF(basedata_pt_pc!K9=":",NA(),basedata_pt_pc!K9)</f>
        <v>128.8</v>
      </c>
      <c r="M8" s="137">
        <f>IF(basedata_pt_pc!L9=":",NA(),basedata_pt_pc!L9)</f>
        <v>68.2</v>
      </c>
      <c r="N8" s="137">
        <f>IF(basedata_pt_pc!M9=":",NA(),basedata_pt_pc!M9)</f>
        <v>57.6</v>
      </c>
      <c r="O8" s="137">
        <f>IF(basedata_pt_pc!N9=":",NA(),basedata_pt_pc!N9)</f>
        <v>49.6</v>
      </c>
      <c r="P8" s="137">
        <f>IF(basedata_pt_pc!O9=":",NA(),basedata_pt_pc!O9)</f>
        <v>86.85883743209388</v>
      </c>
      <c r="Q8" s="137">
        <f>IF(basedata_pt_pc!P9=":",NA(),basedata_pt_pc!P9)</f>
        <v>591</v>
      </c>
      <c r="R8" s="137" t="e">
        <f>IF(basedata_pt_pc!Q9=":",NA(),basedata_pt_pc!Q9)</f>
        <v>#N/A</v>
      </c>
      <c r="S8" s="137">
        <f>IF(basedata_pt_pc!R9=":",NA(),basedata_pt_pc!R9)</f>
        <v>44.53</v>
      </c>
    </row>
    <row r="9" spans="1:19" ht="11.25">
      <c r="A9" s="271">
        <v>1995</v>
      </c>
      <c r="B9" s="137">
        <f>IF(basedata_pt_pc!S10=":",NA(),basedata_pt_pc!S10)</f>
        <v>3396.536178031357</v>
      </c>
      <c r="C9" s="137">
        <f>IF(basedata_pt_pc!B10=":",NA(),basedata_pt_pc!B10)</f>
        <v>97.47</v>
      </c>
      <c r="D9" s="137">
        <f>IF(basedata_pt_pc!C10=":",NA(),basedata_pt_pc!C10)</f>
        <v>53.595</v>
      </c>
      <c r="E9" s="137">
        <f>IF(basedata_pt_pc!D10=":",NA(),basedata_pt_pc!D10)</f>
        <v>730.0403269575476</v>
      </c>
      <c r="F9" s="137">
        <f>IF(basedata_pt_pc!E10=":",NA(),basedata_pt_pc!E10)</f>
        <v>25.781</v>
      </c>
      <c r="G9" s="137">
        <f>IF(basedata_pt_pc!F10=":",NA(),basedata_pt_pc!F10)</f>
        <v>211.541</v>
      </c>
      <c r="H9" s="137">
        <f>IF(basedata_pt_pc!G10=":",NA(),basedata_pt_pc!G10)</f>
        <v>640.1</v>
      </c>
      <c r="I9" s="137">
        <f>IF(basedata_pt_pc!H10=":",NA(),basedata_pt_pc!H10)</f>
        <v>23.2</v>
      </c>
      <c r="J9" s="137">
        <f>IF(basedata_pt_pc!I10=":",NA(),basedata_pt_pc!I10)</f>
        <v>614.713</v>
      </c>
      <c r="K9" s="137">
        <f>IF(basedata_pt_pc!J10=":",NA(),basedata_pt_pc!J10)</f>
        <v>4.7</v>
      </c>
      <c r="L9" s="137">
        <f>IF(basedata_pt_pc!K10=":",NA(),basedata_pt_pc!K10)</f>
        <v>131.4</v>
      </c>
      <c r="M9" s="137">
        <f>IF(basedata_pt_pc!L10=":",NA(),basedata_pt_pc!L10)</f>
        <v>68.1</v>
      </c>
      <c r="N9" s="137">
        <f>IF(basedata_pt_pc!M10=":",NA(),basedata_pt_pc!M10)</f>
        <v>61.4</v>
      </c>
      <c r="O9" s="137">
        <f>IF(basedata_pt_pc!N10=":",NA(),basedata_pt_pc!N10)</f>
        <v>50</v>
      </c>
      <c r="P9" s="137">
        <f>IF(basedata_pt_pc!O10=":",NA(),basedata_pt_pc!O10)</f>
        <v>88.49585107380958</v>
      </c>
      <c r="Q9" s="137">
        <f>IF(basedata_pt_pc!P10=":",NA(),basedata_pt_pc!P10)</f>
        <v>596</v>
      </c>
      <c r="R9" s="137">
        <f>IF(basedata_pt_pc!Q10=":",NA(),basedata_pt_pc!Q10)</f>
        <v>3.026</v>
      </c>
      <c r="S9" s="137">
        <f>IF(basedata_pt_pc!R10=":",NA(),basedata_pt_pc!R10)</f>
        <v>44.73</v>
      </c>
    </row>
    <row r="10" spans="1:19" ht="11.25">
      <c r="A10" s="271">
        <v>1996</v>
      </c>
      <c r="B10" s="137">
        <f>IF(basedata_pt_pc!S11=":",NA(),basedata_pt_pc!S11)</f>
        <v>3447.346895507963</v>
      </c>
      <c r="C10" s="137">
        <f>IF(basedata_pt_pc!B11=":",NA(),basedata_pt_pc!B11)</f>
        <v>98.08</v>
      </c>
      <c r="D10" s="137">
        <f>IF(basedata_pt_pc!C11=":",NA(),basedata_pt_pc!C11)</f>
        <v>54.912</v>
      </c>
      <c r="E10" s="137">
        <f>IF(basedata_pt_pc!D11=":",NA(),basedata_pt_pc!D11)</f>
        <v>730.8</v>
      </c>
      <c r="F10" s="137">
        <f>IF(basedata_pt_pc!E11=":",NA(),basedata_pt_pc!E11)</f>
        <v>28.395</v>
      </c>
      <c r="G10" s="137">
        <f>IF(basedata_pt_pc!F11=":",NA(),basedata_pt_pc!F11)</f>
        <v>219.15</v>
      </c>
      <c r="H10" s="137">
        <f>IF(basedata_pt_pc!G11=":",NA(),basedata_pt_pc!G11)</f>
        <v>649.1</v>
      </c>
      <c r="I10" s="137">
        <f>IF(basedata_pt_pc!H11=":",NA(),basedata_pt_pc!H11)</f>
        <v>25.1</v>
      </c>
      <c r="J10" s="137">
        <f>IF(basedata_pt_pc!I11=":",NA(),basedata_pt_pc!I11)</f>
        <v>627.383</v>
      </c>
      <c r="K10" s="137">
        <f>IF(basedata_pt_pc!J11=":",NA(),basedata_pt_pc!J11)</f>
        <v>4.8</v>
      </c>
      <c r="L10" s="137">
        <f>IF(basedata_pt_pc!K11=":",NA(),basedata_pt_pc!K11)</f>
        <v>132.7</v>
      </c>
      <c r="M10" s="137">
        <f>IF(basedata_pt_pc!L11=":",NA(),basedata_pt_pc!L11)</f>
        <v>65.7</v>
      </c>
      <c r="N10" s="137">
        <f>IF(basedata_pt_pc!M11=":",NA(),basedata_pt_pc!M11)</f>
        <v>66</v>
      </c>
      <c r="O10" s="137">
        <f>IF(basedata_pt_pc!N11=":",NA(),basedata_pt_pc!N11)</f>
        <v>50.4</v>
      </c>
      <c r="P10" s="137">
        <f>IF(basedata_pt_pc!O11=":",NA(),basedata_pt_pc!O11)</f>
        <v>88.82689550796316</v>
      </c>
      <c r="Q10" s="137">
        <f>IF(basedata_pt_pc!P11=":",NA(),basedata_pt_pc!P11)</f>
        <v>606</v>
      </c>
      <c r="R10" s="137">
        <f>IF(basedata_pt_pc!Q11=":",NA(),basedata_pt_pc!Q11)</f>
        <v>3.168</v>
      </c>
      <c r="S10" s="137">
        <f>IF(basedata_pt_pc!R11=":",NA(),basedata_pt_pc!R11)</f>
        <v>46.43</v>
      </c>
    </row>
    <row r="11" spans="1:19" ht="11.25">
      <c r="A11" s="271">
        <v>1997</v>
      </c>
      <c r="B11" s="137">
        <f>IF(basedata_pt_pc!S12=":",NA(),basedata_pt_pc!S12)</f>
        <v>3508.481904444252</v>
      </c>
      <c r="C11" s="137">
        <f>IF(basedata_pt_pc!B12=":",NA(),basedata_pt_pc!B12)</f>
        <v>99.28</v>
      </c>
      <c r="D11" s="137">
        <f>IF(basedata_pt_pc!C12=":",NA(),basedata_pt_pc!C12)</f>
        <v>56.502</v>
      </c>
      <c r="E11" s="137">
        <f>IF(basedata_pt_pc!D12=":",NA(),basedata_pt_pc!D12)</f>
        <v>735.3711530840685</v>
      </c>
      <c r="F11" s="137">
        <f>IF(basedata_pt_pc!E12=":",NA(),basedata_pt_pc!E12)</f>
        <v>30.102</v>
      </c>
      <c r="G11" s="137">
        <f>IF(basedata_pt_pc!F12=":",NA(),basedata_pt_pc!F12)</f>
        <v>227.827</v>
      </c>
      <c r="H11" s="137">
        <f>IF(basedata_pt_pc!G12=":",NA(),basedata_pt_pc!G12)</f>
        <v>659.5</v>
      </c>
      <c r="I11" s="137">
        <f>IF(basedata_pt_pc!H12=":",NA(),basedata_pt_pc!H12)</f>
        <v>27.1</v>
      </c>
      <c r="J11" s="137">
        <f>IF(basedata_pt_pc!I12=":",NA(),basedata_pt_pc!I12)</f>
        <v>638.837</v>
      </c>
      <c r="K11" s="137">
        <f>IF(basedata_pt_pc!J12=":",NA(),basedata_pt_pc!J12)</f>
        <v>4.9</v>
      </c>
      <c r="L11" s="137">
        <f>IF(basedata_pt_pc!K12=":",NA(),basedata_pt_pc!K12)</f>
        <v>136.5</v>
      </c>
      <c r="M11" s="137">
        <f>IF(basedata_pt_pc!L12=":",NA(),basedata_pt_pc!L12)</f>
        <v>67</v>
      </c>
      <c r="N11" s="137">
        <f>IF(basedata_pt_pc!M12=":",NA(),basedata_pt_pc!M12)</f>
        <v>70.8</v>
      </c>
      <c r="O11" s="137">
        <f>IF(basedata_pt_pc!N12=":",NA(),basedata_pt_pc!N12)</f>
        <v>51.9</v>
      </c>
      <c r="P11" s="137">
        <f>IF(basedata_pt_pc!O12=":",NA(),basedata_pt_pc!O12)</f>
        <v>88.86275136018331</v>
      </c>
      <c r="Q11" s="137">
        <f>IF(basedata_pt_pc!P12=":",NA(),basedata_pt_pc!P12)</f>
        <v>614</v>
      </c>
      <c r="R11" s="137">
        <f>IF(basedata_pt_pc!Q12=":",NA(),basedata_pt_pc!Q12)</f>
        <v>3.36</v>
      </c>
      <c r="S11" s="137">
        <f>IF(basedata_pt_pc!R12=":",NA(),basedata_pt_pc!R12)</f>
        <v>46.46</v>
      </c>
    </row>
    <row r="12" spans="1:19" ht="11.25">
      <c r="A12" s="271">
        <v>1998</v>
      </c>
      <c r="B12" s="137">
        <f>IF(basedata_pt_pc!S13=":",NA(),basedata_pt_pc!S13)</f>
        <v>3625.9135382649065</v>
      </c>
      <c r="C12" s="137">
        <f>IF(basedata_pt_pc!B13=":",NA(),basedata_pt_pc!B13)</f>
        <v>102.83</v>
      </c>
      <c r="D12" s="137">
        <f>IF(basedata_pt_pc!C13=":",NA(),basedata_pt_pc!C13)</f>
        <v>57.586</v>
      </c>
      <c r="E12" s="137">
        <f>IF(basedata_pt_pc!D13=":",NA(),basedata_pt_pc!D13)</f>
        <v>738.7968144453788</v>
      </c>
      <c r="F12" s="137">
        <f>IF(basedata_pt_pc!E13=":",NA(),basedata_pt_pc!E13)</f>
        <v>32.089</v>
      </c>
      <c r="G12" s="137">
        <f>IF(basedata_pt_pc!F13=":",NA(),basedata_pt_pc!F13)</f>
        <v>277.969</v>
      </c>
      <c r="H12" s="137">
        <f>IF(basedata_pt_pc!G13=":",NA(),basedata_pt_pc!G13)</f>
        <v>678.6</v>
      </c>
      <c r="I12" s="137">
        <f>IF(basedata_pt_pc!H13=":",NA(),basedata_pt_pc!H13)</f>
        <v>28.5</v>
      </c>
      <c r="J12" s="137">
        <f>IF(basedata_pt_pc!I13=":",NA(),basedata_pt_pc!I13)</f>
        <v>662.545</v>
      </c>
      <c r="K12" s="137">
        <f>IF(basedata_pt_pc!J13=":",NA(),basedata_pt_pc!J13)</f>
        <v>5</v>
      </c>
      <c r="L12" s="137">
        <f>IF(basedata_pt_pc!K13=":",NA(),basedata_pt_pc!K13)</f>
        <v>137.1</v>
      </c>
      <c r="M12" s="137">
        <f>IF(basedata_pt_pc!L13=":",NA(),basedata_pt_pc!L13)</f>
        <v>68.5</v>
      </c>
      <c r="N12" s="137">
        <f>IF(basedata_pt_pc!M13=":",NA(),basedata_pt_pc!M13)</f>
        <v>75.6</v>
      </c>
      <c r="O12" s="137">
        <f>IF(basedata_pt_pc!N13=":",NA(),basedata_pt_pc!N13)</f>
        <v>53.3</v>
      </c>
      <c r="P12" s="137">
        <f>IF(basedata_pt_pc!O13=":",NA(),basedata_pt_pc!O13)</f>
        <v>89.49772381952765</v>
      </c>
      <c r="Q12" s="137">
        <f>IF(basedata_pt_pc!P13=":",NA(),basedata_pt_pc!P13)</f>
        <v>618</v>
      </c>
      <c r="R12" s="137">
        <f>IF(basedata_pt_pc!Q13=":",NA(),basedata_pt_pc!Q13)</f>
        <v>3.561</v>
      </c>
      <c r="S12" s="137">
        <f>IF(basedata_pt_pc!R13=":",NA(),basedata_pt_pc!R13)</f>
        <v>47.75</v>
      </c>
    </row>
    <row r="13" spans="1:19" ht="11.25">
      <c r="A13" s="271">
        <v>1999</v>
      </c>
      <c r="B13" s="137">
        <f>IF(basedata_pt_pc!S14=":",NA(),basedata_pt_pc!S14)</f>
        <v>3690.4545868683044</v>
      </c>
      <c r="C13" s="137">
        <f>IF(basedata_pt_pc!B14=":",NA(),basedata_pt_pc!B14)</f>
        <v>104.97</v>
      </c>
      <c r="D13" s="137">
        <f>IF(basedata_pt_pc!C14=":",NA(),basedata_pt_pc!C14)</f>
        <v>59.319</v>
      </c>
      <c r="E13" s="137">
        <f>IF(basedata_pt_pc!D14=":",NA(),basedata_pt_pc!D14)</f>
        <v>745.1706580168284</v>
      </c>
      <c r="F13" s="137">
        <f>IF(basedata_pt_pc!E14=":",NA(),basedata_pt_pc!E14)</f>
        <v>34.13</v>
      </c>
      <c r="G13" s="137">
        <f>IF(basedata_pt_pc!F14=":",NA(),basedata_pt_pc!F14)</f>
        <v>295.187</v>
      </c>
      <c r="H13" s="137">
        <f>IF(basedata_pt_pc!G14=":",NA(),basedata_pt_pc!G14)</f>
        <v>699.6</v>
      </c>
      <c r="I13" s="137">
        <f>IF(basedata_pt_pc!H14=":",NA(),basedata_pt_pc!H14)</f>
        <v>31</v>
      </c>
      <c r="J13" s="137">
        <f>IF(basedata_pt_pc!I14=":",NA(),basedata_pt_pc!I14)</f>
        <v>663.319</v>
      </c>
      <c r="K13" s="137">
        <f>IF(basedata_pt_pc!J14=":",NA(),basedata_pt_pc!J14)</f>
        <v>5</v>
      </c>
      <c r="L13" s="137">
        <f>IF(basedata_pt_pc!K14=":",NA(),basedata_pt_pc!K14)</f>
        <v>141.3</v>
      </c>
      <c r="M13" s="137">
        <f>IF(basedata_pt_pc!L14=":",NA(),basedata_pt_pc!L14)</f>
        <v>69</v>
      </c>
      <c r="N13" s="137">
        <f>IF(basedata_pt_pc!M14=":",NA(),basedata_pt_pc!M14)</f>
        <v>81.6</v>
      </c>
      <c r="O13" s="137">
        <f>IF(basedata_pt_pc!N14=":",NA(),basedata_pt_pc!N14)</f>
        <v>54.9</v>
      </c>
      <c r="P13" s="137">
        <f>IF(basedata_pt_pc!O14=":",NA(),basedata_pt_pc!O14)</f>
        <v>91.95892885147595</v>
      </c>
      <c r="Q13" s="137">
        <f>IF(basedata_pt_pc!P14=":",NA(),basedata_pt_pc!P14)</f>
        <v>614</v>
      </c>
      <c r="R13" s="137">
        <f>IF(basedata_pt_pc!Q14=":",NA(),basedata_pt_pc!Q14)</f>
        <v>3.712</v>
      </c>
      <c r="S13" s="137">
        <f>IF(basedata_pt_pc!R14=":",NA(),basedata_pt_pc!R14)</f>
        <v>48.22</v>
      </c>
    </row>
    <row r="14" spans="1:19" ht="11.25">
      <c r="A14" s="271">
        <v>2000</v>
      </c>
      <c r="B14" s="137">
        <f>IF(basedata_pt_pc!S15=":",NA(),basedata_pt_pc!S15)</f>
        <v>3676.334308342228</v>
      </c>
      <c r="C14" s="137">
        <f>IF(basedata_pt_pc!B15=":",NA(),basedata_pt_pc!B15)</f>
        <v>106.13</v>
      </c>
      <c r="D14" s="137">
        <f>IF(basedata_pt_pc!C15=":",NA(),basedata_pt_pc!C15)</f>
        <v>59.124</v>
      </c>
      <c r="E14" s="137">
        <f>IF(basedata_pt_pc!D15=":",NA(),basedata_pt_pc!D15)</f>
        <v>714.5020218432942</v>
      </c>
      <c r="F14" s="137">
        <f>IF(basedata_pt_pc!E15=":",NA(),basedata_pt_pc!E15)</f>
        <v>34.014</v>
      </c>
      <c r="G14" s="137">
        <f>IF(basedata_pt_pc!F15=":",NA(),basedata_pt_pc!F15)</f>
        <v>302.611</v>
      </c>
      <c r="H14" s="137">
        <f>IF(basedata_pt_pc!G15=":",NA(),basedata_pt_pc!G15)</f>
        <v>699.6</v>
      </c>
      <c r="I14" s="137">
        <f>IF(basedata_pt_pc!H15=":",NA(),basedata_pt_pc!H15)</f>
        <v>32.39145524831953</v>
      </c>
      <c r="J14" s="137">
        <f>IF(basedata_pt_pc!I15=":",NA(),basedata_pt_pc!I15)</f>
        <v>665.206</v>
      </c>
      <c r="K14" s="137">
        <f>IF(basedata_pt_pc!J15=":",NA(),basedata_pt_pc!J15)</f>
        <v>5.102198727619278</v>
      </c>
      <c r="L14" s="137">
        <f>IF(basedata_pt_pc!K15=":",NA(),basedata_pt_pc!K15)</f>
        <v>141.1</v>
      </c>
      <c r="M14" s="137">
        <f>IF(basedata_pt_pc!L15=":",NA(),basedata_pt_pc!L15)</f>
        <v>73.64626593408497</v>
      </c>
      <c r="N14" s="137">
        <f>IF(basedata_pt_pc!M15=":",NA(),basedata_pt_pc!M15)</f>
        <v>81.323</v>
      </c>
      <c r="O14" s="137">
        <f>IF(basedata_pt_pc!N15=":",NA(),basedata_pt_pc!N15)</f>
        <v>55.7</v>
      </c>
      <c r="P14" s="137">
        <f>IF(basedata_pt_pc!O15=":",NA(),basedata_pt_pc!O15)</f>
        <v>92.88436658891044</v>
      </c>
      <c r="Q14" s="137">
        <f>IF(basedata_pt_pc!P15=":",NA(),basedata_pt_pc!P15)</f>
        <v>613</v>
      </c>
      <c r="R14" s="137">
        <f>IF(basedata_pt_pc!Q15=":",NA(),basedata_pt_pc!Q15)</f>
        <v>3.774</v>
      </c>
      <c r="S14" s="137">
        <f>IF(basedata_pt_pc!R15=":",NA(),basedata_pt_pc!R15)</f>
        <v>48.86</v>
      </c>
    </row>
    <row r="15" spans="1:19" ht="11.25">
      <c r="A15" s="271">
        <v>2001</v>
      </c>
      <c r="B15" s="137" t="e">
        <f>IF(basedata_pt_pc!S16=":",NA(),basedata_pt_pc!S16)</f>
        <v>#N/A</v>
      </c>
      <c r="C15" s="137">
        <f>IF(basedata_pt_pc!C15=":",NA(),basedata_pt_pc!C15)</f>
        <v>59.124</v>
      </c>
      <c r="D15" s="137">
        <f>IF(basedata_pt_pc!C16=":",NA(),basedata_pt_pc!C16)</f>
        <v>58.589</v>
      </c>
      <c r="E15" s="137">
        <f>IF(basedata_pt_pc!D16=":",NA(),basedata_pt_pc!D16)</f>
        <v>705.5452669958604</v>
      </c>
      <c r="F15" s="137" t="e">
        <f>IF(basedata_pt_pc!E16=":",NA(),basedata_pt_pc!E16)</f>
        <v>#N/A</v>
      </c>
      <c r="G15" s="137" t="e">
        <f>IF(basedata_pt_pc!F16=":",NA(),basedata_pt_pc!F16)</f>
        <v>#N/A</v>
      </c>
      <c r="H15" s="137">
        <f>IF(basedata_pt_pc!G16=":",NA(),basedata_pt_pc!G16)</f>
        <v>720</v>
      </c>
      <c r="I15" s="137">
        <f>IF(basedata_pt_pc!H16=":",NA(),basedata_pt_pc!H16)</f>
        <v>33.33064209567289</v>
      </c>
      <c r="J15" s="137">
        <f>IF(basedata_pt_pc!I16=":",NA(),basedata_pt_pc!I16)</f>
        <v>678.1693430070932</v>
      </c>
      <c r="K15" s="137">
        <f>IF(basedata_pt_pc!J16=":",NA(),basedata_pt_pc!J16)</f>
        <v>5.257991808652623</v>
      </c>
      <c r="L15" s="137">
        <f>IF(basedata_pt_pc!K16=":",NA(),basedata_pt_pc!K16)</f>
        <v>141.6</v>
      </c>
      <c r="M15" s="137">
        <f>IF(basedata_pt_pc!L16=":",NA(),basedata_pt_pc!L16)</f>
        <v>72.3253959138965</v>
      </c>
      <c r="N15" s="137" t="e">
        <f>IF(basedata_pt_pc!M16=":",NA(),basedata_pt_pc!M16)</f>
        <v>#N/A</v>
      </c>
      <c r="O15" s="137">
        <f>IF(basedata_pt_pc!N16=":",NA(),basedata_pt_pc!N16)</f>
        <v>57</v>
      </c>
      <c r="P15" s="137">
        <f>IF(basedata_pt_pc!O16=":",NA(),basedata_pt_pc!O16)</f>
        <v>93.42642302538944</v>
      </c>
      <c r="Q15" s="137" t="e">
        <f>IF(basedata_pt_pc!P16=":",NA(),basedata_pt_pc!P16)</f>
        <v>#N/A</v>
      </c>
      <c r="R15" s="137">
        <f>IF(basedata_pt_pc!Q16=":",NA(),basedata_pt_pc!Q16)</f>
        <v>3.803</v>
      </c>
      <c r="S15" s="137" t="e">
        <f>IF(basedata_pt_pc!R16=":",NA(),basedata_pt_pc!R16)</f>
        <v>#N/A</v>
      </c>
    </row>
    <row r="16" spans="1:17" ht="11.25">
      <c r="A16" s="149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11.25">
      <c r="A17" s="138" t="s">
        <v>51</v>
      </c>
      <c r="B17" s="138" t="s">
        <v>117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2" ht="11.25">
      <c r="A18" s="140" t="s">
        <v>244</v>
      </c>
      <c r="B18" s="138"/>
    </row>
    <row r="19" spans="2:19" ht="11.25">
      <c r="B19" s="79">
        <f>+B14/B5-1</f>
        <v>0.16708105850409538</v>
      </c>
      <c r="C19" s="79">
        <f aca="true" t="shared" si="0" ref="C19:S19">+C14/C5-1</f>
        <v>0.2802171290711699</v>
      </c>
      <c r="D19" s="79">
        <f t="shared" si="0"/>
        <v>0.15542006214457404</v>
      </c>
      <c r="E19" s="79">
        <f t="shared" si="0"/>
        <v>0.020863011634939532</v>
      </c>
      <c r="F19" s="79">
        <f t="shared" si="0"/>
        <v>0.7336391437308869</v>
      </c>
      <c r="G19" s="79">
        <f t="shared" si="0"/>
        <v>0.6549685534591194</v>
      </c>
      <c r="H19" s="79">
        <f t="shared" si="0"/>
        <v>0.16775162744116168</v>
      </c>
      <c r="I19" s="79">
        <f t="shared" si="0"/>
        <v>0.6870549608499756</v>
      </c>
      <c r="J19" s="79">
        <f t="shared" si="0"/>
        <v>0.23583365071108098</v>
      </c>
      <c r="K19" s="79">
        <f t="shared" si="0"/>
        <v>0.22944547653476577</v>
      </c>
      <c r="L19" s="79">
        <f t="shared" si="0"/>
        <v>0.1333333333333333</v>
      </c>
      <c r="M19" s="79">
        <f t="shared" si="0"/>
        <v>0.04611173201825225</v>
      </c>
      <c r="N19" s="79">
        <f t="shared" si="0"/>
        <v>0.8824768518518515</v>
      </c>
      <c r="O19" s="79">
        <f t="shared" si="0"/>
        <v>0.20043103448275867</v>
      </c>
      <c r="P19" s="79">
        <f t="shared" si="0"/>
        <v>0.07543856734595034</v>
      </c>
      <c r="Q19" s="79">
        <f t="shared" si="0"/>
        <v>0.053264604810996596</v>
      </c>
      <c r="R19" s="79" t="e">
        <f t="shared" si="0"/>
        <v>#N/A</v>
      </c>
      <c r="S19" s="79">
        <f t="shared" si="0"/>
        <v>0.13601488026040465</v>
      </c>
    </row>
    <row r="20" spans="1:17" ht="11.25">
      <c r="A20" s="140" t="s">
        <v>229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2:19" ht="11.25">
      <c r="B21" s="293">
        <f>+B14/B12-1</f>
        <v>0.013905673575837385</v>
      </c>
      <c r="C21" s="293">
        <f>+C14/C12-1</f>
        <v>0.0320918020033063</v>
      </c>
      <c r="D21" s="293">
        <f aca="true" t="shared" si="1" ref="D21:S21">+D14/D12-1</f>
        <v>0.026707880387594196</v>
      </c>
      <c r="E21" s="293">
        <f t="shared" si="1"/>
        <v>-0.03288426821428969</v>
      </c>
      <c r="F21" s="293">
        <f t="shared" si="1"/>
        <v>0.05998940446882117</v>
      </c>
      <c r="G21" s="293">
        <f t="shared" si="1"/>
        <v>0.08865017322075475</v>
      </c>
      <c r="H21" s="293">
        <f t="shared" si="1"/>
        <v>0.030946065428824054</v>
      </c>
      <c r="I21" s="293">
        <f t="shared" si="1"/>
        <v>0.13654228941472035</v>
      </c>
      <c r="J21" s="293">
        <f t="shared" si="1"/>
        <v>0.004016330966198689</v>
      </c>
      <c r="K21" s="293">
        <f t="shared" si="1"/>
        <v>0.020439745523855635</v>
      </c>
      <c r="L21" s="293">
        <f t="shared" si="1"/>
        <v>0.029175784099197744</v>
      </c>
      <c r="M21" s="293">
        <f t="shared" si="1"/>
        <v>0.0751279698406564</v>
      </c>
      <c r="N21" s="293">
        <f t="shared" si="1"/>
        <v>0.07570105820105821</v>
      </c>
      <c r="O21" s="293">
        <f t="shared" si="1"/>
        <v>0.04502814258911836</v>
      </c>
      <c r="P21" s="293">
        <f t="shared" si="1"/>
        <v>0.03784054638319034</v>
      </c>
      <c r="Q21" s="293">
        <f t="shared" si="1"/>
        <v>-0.008090614886731351</v>
      </c>
      <c r="R21" s="293">
        <f t="shared" si="1"/>
        <v>0.059814658803706955</v>
      </c>
      <c r="S21" s="293">
        <f t="shared" si="1"/>
        <v>0.023246073298429204</v>
      </c>
    </row>
    <row r="23" ht="11.25">
      <c r="A23" s="144" t="s">
        <v>102</v>
      </c>
    </row>
    <row r="24" ht="11.25">
      <c r="A24" s="151" t="s">
        <v>95</v>
      </c>
    </row>
    <row r="25" ht="11.25">
      <c r="A25" s="151"/>
    </row>
    <row r="26" spans="1:17" ht="11.25">
      <c r="A26" s="148"/>
      <c r="B26" s="148" t="s">
        <v>5</v>
      </c>
      <c r="C26" s="148" t="s">
        <v>7</v>
      </c>
      <c r="D26" s="148" t="s">
        <v>8</v>
      </c>
      <c r="E26" s="148" t="s">
        <v>9</v>
      </c>
      <c r="F26" s="148" t="s">
        <v>10</v>
      </c>
      <c r="G26" s="148" t="s">
        <v>11</v>
      </c>
      <c r="H26" s="148" t="s">
        <v>12</v>
      </c>
      <c r="I26" s="148" t="s">
        <v>13</v>
      </c>
      <c r="J26" s="148" t="s">
        <v>14</v>
      </c>
      <c r="K26" s="148" t="s">
        <v>15</v>
      </c>
      <c r="L26" s="148" t="s">
        <v>16</v>
      </c>
      <c r="M26" s="148" t="s">
        <v>17</v>
      </c>
      <c r="N26" s="148" t="s">
        <v>18</v>
      </c>
      <c r="O26" s="148" t="s">
        <v>19</v>
      </c>
      <c r="P26" s="148" t="s">
        <v>20</v>
      </c>
      <c r="Q26" s="148" t="s">
        <v>21</v>
      </c>
    </row>
    <row r="27" spans="1:17" ht="11.25">
      <c r="A27" s="135">
        <v>1991</v>
      </c>
      <c r="B27" s="137">
        <f>+B5/'[6]manip_POP_EU'!B7*1000000</f>
        <v>8602.368680649155</v>
      </c>
      <c r="C27" s="137">
        <f>+C5/'[6]manip_POP_EU'!C7*1000000</f>
        <v>8286.271177969915</v>
      </c>
      <c r="D27" s="137">
        <f>+D5/'[6]manip_POP_EU'!D7*1000000</f>
        <v>9928.405122235157</v>
      </c>
      <c r="E27" s="137">
        <f>+E5/'[6]manip_POP_EU'!E7*1000000</f>
        <v>8747.219236633588</v>
      </c>
      <c r="F27" s="137">
        <f>+F5/'[6]manip_POP_EU'!F7*1000000</f>
        <v>1914.7067434371038</v>
      </c>
      <c r="G27" s="137">
        <f>+G5/'[6]manip_POP_EU'!G7*1000000</f>
        <v>4698.581560283687</v>
      </c>
      <c r="H27" s="137">
        <f>+H5/'[6]manip_POP_EU'!H7*1000000</f>
        <v>10514.67684612347</v>
      </c>
      <c r="I27" s="137">
        <f>+I5/'[6]manip_POP_EU'!I7*1000000</f>
        <v>5445.727089655955</v>
      </c>
      <c r="J27" s="137">
        <f>+J5/'[6]manip_POP_EU'!J7*1000000</f>
        <v>9484.67868407605</v>
      </c>
      <c r="K27" s="137">
        <f>+K5/'[6]manip_POP_EU'!K7*1000000</f>
        <v>10720.743993800052</v>
      </c>
      <c r="L27" s="137">
        <f>+L5/'[6]manip_POP_EU'!L7*1000000</f>
        <v>8261.446582614466</v>
      </c>
      <c r="M27" s="137">
        <f>+M5/'[6]manip_POP_EU'!M7*1000000</f>
        <v>8995.770454516414</v>
      </c>
      <c r="N27" s="137">
        <f>+N5/'[6]manip_POP_EU'!N7*1000000</f>
        <v>4377.343195865843</v>
      </c>
      <c r="O27" s="137">
        <f>+O5/'[6]manip_POP_EU'!O7*1000000</f>
        <v>9254.088552054249</v>
      </c>
      <c r="P27" s="137">
        <f>+P5/'[6]manip_POP_EU'!P7*1000000</f>
        <v>10022.608453321991</v>
      </c>
      <c r="Q27" s="137">
        <f>+Q5/'[6]manip_POP_EU'!Q7*1000000</f>
        <v>10067.810683642403</v>
      </c>
    </row>
    <row r="28" spans="1:17" ht="11.25">
      <c r="A28" s="135">
        <v>1992</v>
      </c>
      <c r="B28" s="137">
        <f>+B6/'[6]manip_POP_EU'!B8*1000000</f>
        <v>8885.230221902819</v>
      </c>
      <c r="C28" s="137">
        <f>+C6/'[6]manip_POP_EU'!C8*1000000</f>
        <v>8422.100547536087</v>
      </c>
      <c r="D28" s="137">
        <f>+D6/'[6]manip_POP_EU'!D8*1000000</f>
        <v>10057.640232108317</v>
      </c>
      <c r="E28" s="137">
        <f>+E6/'[6]manip_POP_EU'!E8*1000000</f>
        <v>8919.180392935106</v>
      </c>
      <c r="F28" s="137">
        <f>+F6/'[6]manip_POP_EU'!F8*1000000</f>
        <v>1957.4694826583993</v>
      </c>
      <c r="G28" s="137">
        <f>+G6/'[6]manip_POP_EU'!G8*1000000</f>
        <v>4967.671640260473</v>
      </c>
      <c r="H28" s="137">
        <f>+H6/'[6]manip_POP_EU'!H8*1000000</f>
        <v>10778.742293723348</v>
      </c>
      <c r="I28" s="137">
        <f>+I6/'[6]manip_POP_EU'!I8*1000000</f>
        <v>5578.879152461188</v>
      </c>
      <c r="J28" s="137">
        <f>+J6/'[6]manip_POP_EU'!J8*1000000</f>
        <v>10384.442216711514</v>
      </c>
      <c r="K28" s="137">
        <f>+K6/'[6]manip_POP_EU'!K8*1000000</f>
        <v>10955.414012738853</v>
      </c>
      <c r="L28" s="137">
        <f>+L6/'[6]manip_POP_EU'!L8*1000000</f>
        <v>8505.731980498089</v>
      </c>
      <c r="M28" s="137">
        <f>+M6/'[6]manip_POP_EU'!M8*1000000</f>
        <v>8759.511590868873</v>
      </c>
      <c r="N28" s="137">
        <f>+N6/'[6]manip_POP_EU'!N8*1000000</f>
        <v>4905.239687848384</v>
      </c>
      <c r="O28" s="137">
        <f>+O6/'[6]manip_POP_EU'!O8*1000000</f>
        <v>9996.033320111068</v>
      </c>
      <c r="P28" s="137">
        <f>+P6/'[6]manip_POP_EU'!P8*1000000</f>
        <v>10071.288655182218</v>
      </c>
      <c r="Q28" s="137">
        <f>+Q6/'[6]manip_POP_EU'!Q8*1000000</f>
        <v>10050.684411957383</v>
      </c>
    </row>
    <row r="29" spans="1:17" ht="11.25">
      <c r="A29" s="135">
        <v>1993</v>
      </c>
      <c r="B29" s="137">
        <f>+B7/'[6]manip_POP_EU'!B9*1000000</f>
        <v>8924.994990765428</v>
      </c>
      <c r="C29" s="137">
        <f>+C7/'[6]manip_POP_EU'!C9*1000000</f>
        <v>8617.184788536864</v>
      </c>
      <c r="D29" s="137">
        <f>+D7/'[6]manip_POP_EU'!D9*1000000</f>
        <v>9995.760262092888</v>
      </c>
      <c r="E29" s="137">
        <f>+E7/'[6]manip_POP_EU'!E9*1000000</f>
        <v>8988.860959140422</v>
      </c>
      <c r="F29" s="137">
        <f>+F7/'[6]manip_POP_EU'!F9*1000000</f>
        <v>2086.721911736365</v>
      </c>
      <c r="G29" s="137">
        <f>+G7/'[6]manip_POP_EU'!G9*1000000</f>
        <v>5077.220274799784</v>
      </c>
      <c r="H29" s="137">
        <f>+H7/'[6]manip_POP_EU'!H9*1000000</f>
        <v>10958.856436892613</v>
      </c>
      <c r="I29" s="137">
        <f>+I7/'[6]manip_POP_EU'!I9*1000000</f>
        <v>5781.157915415486</v>
      </c>
      <c r="J29" s="137">
        <f>+J7/'[6]manip_POP_EU'!J9*1000000</f>
        <v>10311.819663797787</v>
      </c>
      <c r="K29" s="137">
        <f>+K7/'[6]manip_POP_EU'!K9*1000000</f>
        <v>11303.692539562922</v>
      </c>
      <c r="L29" s="137">
        <f>+L7/'[6]manip_POP_EU'!L9*1000000</f>
        <v>8253.103913188605</v>
      </c>
      <c r="M29" s="137">
        <f>+M7/'[6]manip_POP_EU'!M9*1000000</f>
        <v>8499.718345121111</v>
      </c>
      <c r="N29" s="137">
        <f>+N7/'[6]manip_POP_EU'!N9*1000000</f>
        <v>5363.829571905678</v>
      </c>
      <c r="O29" s="137">
        <f>+O7/'[6]manip_POP_EU'!O9*1000000</f>
        <v>9810.50138176076</v>
      </c>
      <c r="P29" s="137">
        <f>+P7/'[6]manip_POP_EU'!P9*1000000</f>
        <v>9806.787112022042</v>
      </c>
      <c r="Q29" s="137">
        <f>+Q7/'[6]manip_POP_EU'!Q9*1000000</f>
        <v>10035.916206973587</v>
      </c>
    </row>
    <row r="30" spans="1:17" ht="11.25">
      <c r="A30" s="135">
        <v>1994</v>
      </c>
      <c r="B30" s="137">
        <f>+B8/'[6]manip_POP_EU'!B10*1000000</f>
        <v>9020.996488618062</v>
      </c>
      <c r="C30" s="137">
        <f>+C8/'[6]manip_POP_EU'!C10*1000000</f>
        <v>8847.720352722527</v>
      </c>
      <c r="D30" s="137">
        <f>+D8/'[6]manip_POP_EU'!D10*1000000</f>
        <v>10080.30739673391</v>
      </c>
      <c r="E30" s="137">
        <f>+E8/'[6]manip_POP_EU'!E10*1000000</f>
        <v>8822.807792335248</v>
      </c>
      <c r="F30" s="137">
        <f>+F8/'[6]manip_POP_EU'!F10*1000000</f>
        <v>2324.669096489545</v>
      </c>
      <c r="G30" s="137">
        <f>+G8/'[6]manip_POP_EU'!G10*1000000</f>
        <v>5241.601308024423</v>
      </c>
      <c r="H30" s="137">
        <f>+H8/'[6]manip_POP_EU'!H10*1000000</f>
        <v>11293.556152143905</v>
      </c>
      <c r="I30" s="137">
        <f>+I8/'[6]manip_POP_EU'!I10*1000000</f>
        <v>6105.245470075896</v>
      </c>
      <c r="J30" s="137">
        <f>+J8/'[6]manip_POP_EU'!J10*1000000</f>
        <v>10402.275910364146</v>
      </c>
      <c r="K30" s="137">
        <f>+K8/'[6]manip_POP_EU'!K10*1000000</f>
        <v>11391.778107974244</v>
      </c>
      <c r="L30" s="137">
        <f>+L8/'[6]manip_POP_EU'!L10*1000000</f>
        <v>8373.897106389455</v>
      </c>
      <c r="M30" s="137">
        <f>+M8/'[6]manip_POP_EU'!M10*1000000</f>
        <v>8495.795702273435</v>
      </c>
      <c r="N30" s="137">
        <f>+N8/'[6]manip_POP_EU'!N10*1000000</f>
        <v>5817.0066653201375</v>
      </c>
      <c r="O30" s="137">
        <f>+O8/'[6]manip_POP_EU'!O10*1000000</f>
        <v>9746.512084888976</v>
      </c>
      <c r="P30" s="137">
        <f>+P8/'[6]manip_POP_EU'!P10*1000000</f>
        <v>9892.017428233952</v>
      </c>
      <c r="Q30" s="137">
        <f>+Q8/'[6]manip_POP_EU'!Q10*1000000</f>
        <v>10120.729514513228</v>
      </c>
    </row>
    <row r="31" spans="1:17" ht="11.25">
      <c r="A31" s="135">
        <v>1995</v>
      </c>
      <c r="B31" s="137">
        <f>+B9/'[6]manip_POP_EU'!B11*1000000</f>
        <v>9137.515870514608</v>
      </c>
      <c r="C31" s="137">
        <f>+C9/'[6]manip_POP_EU'!C11*1000000</f>
        <v>9615.460500355142</v>
      </c>
      <c r="D31" s="137">
        <f>+D9/'[6]manip_POP_EU'!D11*1000000</f>
        <v>10251.530221882173</v>
      </c>
      <c r="E31" s="137">
        <f>+E9/'[6]manip_POP_EU'!E11*1000000</f>
        <v>8941.970149647823</v>
      </c>
      <c r="F31" s="137">
        <f>+F9/'[6]manip_POP_EU'!F11*1000000</f>
        <v>2465.194109772423</v>
      </c>
      <c r="G31" s="137">
        <f>+G9/'[6]manip_POP_EU'!G11*1000000</f>
        <v>5395.07778627901</v>
      </c>
      <c r="H31" s="137">
        <f>+H9/'[6]manip_POP_EU'!H11*1000000</f>
        <v>11065.97054145633</v>
      </c>
      <c r="I31" s="137">
        <f>+I9/'[6]manip_POP_EU'!I11*1000000</f>
        <v>6440.866185452526</v>
      </c>
      <c r="J31" s="137">
        <f>+J9/'[6]manip_POP_EU'!J11*1000000</f>
        <v>10745.979302146703</v>
      </c>
      <c r="K31" s="137">
        <f>+K9/'[6]manip_POP_EU'!K11*1000000</f>
        <v>11477.411477411479</v>
      </c>
      <c r="L31" s="137">
        <f>+L9/'[6]manip_POP_EU'!L11*1000000</f>
        <v>8499.3531694696</v>
      </c>
      <c r="M31" s="137">
        <f>+M9/'[6]manip_POP_EU'!M11*1000000</f>
        <v>8462.781160681</v>
      </c>
      <c r="N31" s="137">
        <f>+N9/'[6]manip_POP_EU'!N11*1000000</f>
        <v>6185.151606729122</v>
      </c>
      <c r="O31" s="137">
        <f>+O9/'[6]manip_POP_EU'!O11*1000000</f>
        <v>9788.566953797965</v>
      </c>
      <c r="P31" s="137">
        <f>+P9/'[6]manip_POP_EU'!P11*1000000</f>
        <v>10021.045303341589</v>
      </c>
      <c r="Q31" s="137">
        <f>+Q9/'[6]manip_POP_EU'!Q11*1000000</f>
        <v>10169.60720745316</v>
      </c>
    </row>
    <row r="32" spans="1:17" ht="11.25">
      <c r="A32" s="135">
        <v>1996</v>
      </c>
      <c r="B32" s="137">
        <f>+B10/'[6]manip_POP_EU'!B12*1000000</f>
        <v>9246.985645218972</v>
      </c>
      <c r="C32" s="137">
        <f>+C10/'[6]manip_POP_EU'!C12*1000000</f>
        <v>9656.394604706114</v>
      </c>
      <c r="D32" s="137">
        <f>+D10/'[6]manip_POP_EU'!D12*1000000</f>
        <v>10435.57582668187</v>
      </c>
      <c r="E32" s="137">
        <f>+E10/'[6]manip_POP_EU'!E12*1000000</f>
        <v>8921.769704072663</v>
      </c>
      <c r="F32" s="137">
        <f>+F10/'[6]manip_POP_EU'!F12*1000000</f>
        <v>2710.7398568019094</v>
      </c>
      <c r="G32" s="137">
        <f>+G10/'[6]manip_POP_EU'!G12*1000000</f>
        <v>5580.354300934261</v>
      </c>
      <c r="H32" s="137">
        <f>+H10/'[6]manip_POP_EU'!H12*1000000</f>
        <v>11186.364733050703</v>
      </c>
      <c r="I32" s="137">
        <f>+I10/'[6]manip_POP_EU'!I12*1000000</f>
        <v>6910.79295154185</v>
      </c>
      <c r="J32" s="137">
        <f>+J10/'[6]manip_POP_EU'!J12*1000000</f>
        <v>10933.827117462532</v>
      </c>
      <c r="K32" s="137">
        <f>+K10/'[6]manip_POP_EU'!K12*1000000</f>
        <v>11550.956563590422</v>
      </c>
      <c r="L32" s="137">
        <f>+L10/'[6]manip_POP_EU'!L12*1000000</f>
        <v>8551.910807501448</v>
      </c>
      <c r="M32" s="137">
        <f>+M10/'[6]manip_POP_EU'!M12*1000000</f>
        <v>8151.981725664101</v>
      </c>
      <c r="N32" s="137">
        <f>+N10/'[6]manip_POP_EU'!N12*1000000</f>
        <v>6646.525679758308</v>
      </c>
      <c r="O32" s="137">
        <f>+O10/'[6]manip_POP_EU'!O12*1000000</f>
        <v>9834.146341463415</v>
      </c>
      <c r="P32" s="137">
        <f>+P10/'[6]manip_POP_EU'!P12*1000000</f>
        <v>10044.882450295505</v>
      </c>
      <c r="Q32" s="137">
        <f>+Q10/'[6]manip_POP_EU'!Q12*1000000</f>
        <v>10305.771912519982</v>
      </c>
    </row>
    <row r="33" spans="1:17" ht="11.25">
      <c r="A33" s="135">
        <v>1997</v>
      </c>
      <c r="B33" s="137">
        <f>+B11/'[6]manip_POP_EU'!B13*1000000</f>
        <v>9385.957273982527</v>
      </c>
      <c r="C33" s="137">
        <f>+C11/'[6]manip_POP_EU'!C13*1000000</f>
        <v>9751.49788822316</v>
      </c>
      <c r="D33" s="137">
        <f>+D11/'[6]manip_POP_EU'!D13*1000000</f>
        <v>10692.590391770214</v>
      </c>
      <c r="E33" s="137">
        <f>+E11/'[6]manip_POP_EU'!E13*1000000</f>
        <v>8960.182684310761</v>
      </c>
      <c r="F33" s="137">
        <f>+F11/'[6]manip_POP_EU'!F13*1000000</f>
        <v>2867.676478993998</v>
      </c>
      <c r="G33" s="137">
        <f>+G11/'[6]manip_POP_EU'!G13*1000000</f>
        <v>5793.733947053887</v>
      </c>
      <c r="H33" s="137">
        <f>+H11/'[6]manip_POP_EU'!H13*1000000</f>
        <v>11330.05772402419</v>
      </c>
      <c r="I33" s="137">
        <f>+I11/'[6]manip_POP_EU'!I13*1000000</f>
        <v>7384.196185286104</v>
      </c>
      <c r="J33" s="137">
        <f>+J11/'[6]manip_POP_EU'!J13*1000000</f>
        <v>11105.766389096536</v>
      </c>
      <c r="K33" s="137">
        <f>+K11/'[6]manip_POP_EU'!K13*1000000</f>
        <v>11625.148279952551</v>
      </c>
      <c r="L33" s="137">
        <f>+L11/'[6]manip_POP_EU'!L13*1000000</f>
        <v>8746.075478951752</v>
      </c>
      <c r="M33" s="137">
        <f>+M11/'[6]manip_POP_EU'!M13*1000000</f>
        <v>8300.112237338612</v>
      </c>
      <c r="N33" s="137">
        <f>+N11/'[6]manip_POP_EU'!N13*1000000</f>
        <v>7119.155354449472</v>
      </c>
      <c r="O33" s="137">
        <f>+O11/'[6]manip_POP_EU'!O13*1000000</f>
        <v>10097.5905864774</v>
      </c>
      <c r="P33" s="137">
        <f>+P11/'[6]manip_POP_EU'!P13*1000000</f>
        <v>10041.624256470841</v>
      </c>
      <c r="Q33" s="137">
        <f>+Q11/'[6]manip_POP_EU'!Q13*1000000</f>
        <v>10405.192428273653</v>
      </c>
    </row>
    <row r="34" spans="1:17" ht="11.25">
      <c r="A34" s="135">
        <v>1998</v>
      </c>
      <c r="B34" s="137">
        <f>+B12/'[6]manip_POP_EU'!B14*1000000</f>
        <v>9680.309986254504</v>
      </c>
      <c r="C34" s="137">
        <f>+C12/'[6]manip_POP_EU'!C14*1000000</f>
        <v>10078.408311280997</v>
      </c>
      <c r="D34" s="137">
        <f>+D12/'[6]manip_POP_EU'!D14*1000000</f>
        <v>10863.233352197698</v>
      </c>
      <c r="E34" s="137">
        <f>+E12/'[6]manip_POP_EU'!E14*1000000</f>
        <v>9004.556101324592</v>
      </c>
      <c r="F34" s="137">
        <f>+F12/'[6]manip_POP_EU'!F14*1000000</f>
        <v>3051.735615786971</v>
      </c>
      <c r="G34" s="137">
        <f>+G12/'[6]manip_POP_EU'!G14*1000000</f>
        <v>7060.247390211069</v>
      </c>
      <c r="H34" s="137">
        <f>+H12/'[6]manip_POP_EU'!H14*1000000</f>
        <v>11620.260967841365</v>
      </c>
      <c r="I34" s="137">
        <f>+I12/'[6]manip_POP_EU'!I14*1000000</f>
        <v>7677.801724137931</v>
      </c>
      <c r="J34" s="137">
        <f>+J12/'[6]manip_POP_EU'!J14*1000000</f>
        <v>11504.91421823991</v>
      </c>
      <c r="K34" s="137">
        <f>+K12/'[6]manip_POP_EU'!K14*1000000</f>
        <v>11720.581340834506</v>
      </c>
      <c r="L34" s="137">
        <f>+L12/'[6]manip_POP_EU'!L14*1000000</f>
        <v>8733.596636514205</v>
      </c>
      <c r="M34" s="137">
        <f>+M12/'[6]manip_POP_EU'!M14*1000000</f>
        <v>8479.349380140991</v>
      </c>
      <c r="N34" s="137">
        <f>+N12/'[6]manip_POP_EU'!N14*1000000</f>
        <v>7584.269662921348</v>
      </c>
      <c r="O34" s="137">
        <f>+O12/'[6]manip_POP_EU'!O14*1000000</f>
        <v>10343.489229575003</v>
      </c>
      <c r="P34" s="137">
        <f>+P12/'[6]manip_POP_EU'!P14*1000000</f>
        <v>10110.680745105816</v>
      </c>
      <c r="Q34" s="137">
        <f>+Q12/'[6]manip_POP_EU'!Q14*1000000</f>
        <v>10429.499620285209</v>
      </c>
    </row>
    <row r="35" spans="1:17" ht="11.25">
      <c r="A35" s="135">
        <v>1999</v>
      </c>
      <c r="B35" s="137">
        <f>+B13/'[6]manip_POP_EU'!B15*1000000</f>
        <v>9829.481073636794</v>
      </c>
      <c r="C35" s="137">
        <f>+C13/'[6]manip_POP_EU'!C15*1000000</f>
        <v>10265.010756894191</v>
      </c>
      <c r="D35" s="137">
        <f>+D13/'[6]manip_POP_EU'!D15*1000000</f>
        <v>11152.284263959391</v>
      </c>
      <c r="E35" s="137">
        <f>+E13/'[6]manip_POP_EU'!E15*1000000</f>
        <v>9077.815707929736</v>
      </c>
      <c r="F35" s="137">
        <f>+F13/'[6]manip_POP_EU'!F15*1000000</f>
        <v>3238.7549819700134</v>
      </c>
      <c r="G35" s="137">
        <f>+G13/'[6]manip_POP_EU'!G15*1000000</f>
        <v>7488.634633923588</v>
      </c>
      <c r="H35" s="137">
        <f>+H13/'[6]manip_POP_EU'!H15*1000000</f>
        <v>11934.493346980553</v>
      </c>
      <c r="I35" s="137">
        <f>+I13/'[6]manip_POP_EU'!I15*1000000</f>
        <v>8262.26012793177</v>
      </c>
      <c r="J35" s="137">
        <f>+J13/'[6]manip_POP_EU'!J15*1000000</f>
        <v>11506.765430385454</v>
      </c>
      <c r="K35" s="137">
        <f>+K13/'[6]manip_POP_EU'!K15*1000000</f>
        <v>11574.074074074073</v>
      </c>
      <c r="L35" s="137">
        <f>+L13/'[6]manip_POP_EU'!L15*1000000</f>
        <v>8940.208794685228</v>
      </c>
      <c r="M35" s="137">
        <f>+M13/'[6]manip_POP_EU'!M15*1000000</f>
        <v>8526.676758627082</v>
      </c>
      <c r="N35" s="137">
        <f>+N13/'[6]manip_POP_EU'!N15*1000000</f>
        <v>8168.985884472921</v>
      </c>
      <c r="O35" s="137">
        <f>+O13/'[6]manip_POP_EU'!O15*1000000</f>
        <v>10629.235237173281</v>
      </c>
      <c r="P35" s="137">
        <f>+P13/'[6]manip_POP_EU'!P15*1000000</f>
        <v>10382.158291538819</v>
      </c>
      <c r="Q35" s="137">
        <f>+Q13/'[6]manip_POP_EU'!Q15*1000000</f>
        <v>10319.171642781874</v>
      </c>
    </row>
    <row r="36" spans="1:17" ht="11.25">
      <c r="A36" s="135">
        <v>2000</v>
      </c>
      <c r="B36" s="137">
        <f>+B14/'[6]manip_POP_EU'!B16*1000000</f>
        <v>9767.106273143234</v>
      </c>
      <c r="C36" s="137">
        <f>+C14/'[6]manip_POP_EU'!C16*1000000</f>
        <v>10352.126414358174</v>
      </c>
      <c r="D36" s="137">
        <f>+D14/'[6]manip_POP_EU'!D16*1000000</f>
        <v>11080.209895052474</v>
      </c>
      <c r="E36" s="137">
        <f>+E14/'[6]manip_POP_EU'!E16*1000000</f>
        <v>8697.529176424763</v>
      </c>
      <c r="F36" s="137">
        <f>+F14/'[6]manip_POP_EU'!F16*1000000</f>
        <v>3221.022727272728</v>
      </c>
      <c r="G36" s="137">
        <f>+G14/'[6]manip_POP_EU'!G16*1000000</f>
        <v>7667.832256429748</v>
      </c>
      <c r="H36" s="137">
        <f>+H14/'[6]manip_POP_EU'!H16*1000000</f>
        <v>11879.372410514161</v>
      </c>
      <c r="I36" s="137">
        <f>+I14/'[6]manip_POP_EU'!I16*1000000</f>
        <v>8537.547508782163</v>
      </c>
      <c r="J36" s="137">
        <f>+J14/'[6]manip_POP_EU'!J16*1000000</f>
        <v>11530.698561275785</v>
      </c>
      <c r="K36" s="137">
        <f>+K14/'[6]manip_POP_EU'!K16*1000000</f>
        <v>11638.227024679012</v>
      </c>
      <c r="L36" s="137">
        <f>+L14/'[6]manip_POP_EU'!L16*1000000</f>
        <v>8863.622086814497</v>
      </c>
      <c r="M36" s="137">
        <f>+M14/'[6]manip_POP_EU'!M16*1000000</f>
        <v>9080.651859141648</v>
      </c>
      <c r="N36" s="137">
        <f>+N14/'[6]manip_POP_EU'!N16*1000000</f>
        <v>8125.799360511591</v>
      </c>
      <c r="O36" s="137">
        <f>+O14/'[6]manip_POP_EU'!O16*1000000</f>
        <v>10759.12690747537</v>
      </c>
      <c r="P36" s="137">
        <f>+P14/'[6]manip_POP_EU'!P16*1000000</f>
        <v>10472.924409618947</v>
      </c>
      <c r="Q36" s="137">
        <f>+Q14/'[6]manip_POP_EU'!Q16*1000000</f>
        <v>10261.320513099505</v>
      </c>
    </row>
    <row r="37" spans="1:2" ht="11.25">
      <c r="A37" s="140" t="s">
        <v>168</v>
      </c>
      <c r="B37" s="138"/>
    </row>
    <row r="38" spans="2:17" ht="11.25">
      <c r="B38" s="300">
        <f>+B36/B27-1</f>
        <v>0.1353973115700251</v>
      </c>
      <c r="C38" s="300">
        <f aca="true" t="shared" si="2" ref="C38:Q38">+C36/C27-1</f>
        <v>0.2493105996676277</v>
      </c>
      <c r="D38" s="300">
        <f t="shared" si="2"/>
        <v>0.11601105702644965</v>
      </c>
      <c r="E38" s="300">
        <f t="shared" si="2"/>
        <v>-0.00568066934926259</v>
      </c>
      <c r="F38" s="300">
        <f t="shared" si="2"/>
        <v>0.682253816838106</v>
      </c>
      <c r="G38" s="300">
        <f t="shared" si="2"/>
        <v>0.6319461858967466</v>
      </c>
      <c r="H38" s="300">
        <f t="shared" si="2"/>
        <v>0.1297895869138217</v>
      </c>
      <c r="I38" s="300">
        <f t="shared" si="2"/>
        <v>0.5677516276933996</v>
      </c>
      <c r="J38" s="300">
        <f t="shared" si="2"/>
        <v>0.21571841760278332</v>
      </c>
      <c r="K38" s="300">
        <f t="shared" si="2"/>
        <v>0.08558016415740854</v>
      </c>
      <c r="L38" s="300">
        <f t="shared" si="2"/>
        <v>0.07288983813891137</v>
      </c>
      <c r="M38" s="300">
        <f t="shared" si="2"/>
        <v>0.009435701483758718</v>
      </c>
      <c r="N38" s="300">
        <f t="shared" si="2"/>
        <v>0.8563313400205759</v>
      </c>
      <c r="O38" s="300">
        <f t="shared" si="2"/>
        <v>0.16263496366554975</v>
      </c>
      <c r="P38" s="300">
        <f t="shared" si="2"/>
        <v>0.04493001581316869</v>
      </c>
      <c r="Q38" s="300">
        <f t="shared" si="2"/>
        <v>0.019220646428275145</v>
      </c>
    </row>
    <row r="39" spans="1:17" ht="11.25">
      <c r="A39" s="140" t="s">
        <v>169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</row>
    <row r="40" spans="2:17" ht="11.25">
      <c r="B40" s="150">
        <f>+B35/B34-1</f>
        <v>0.015409742827874773</v>
      </c>
      <c r="C40" s="150">
        <f aca="true" t="shared" si="3" ref="C40:Q40">+C35/C34-1</f>
        <v>0.018515071016157014</v>
      </c>
      <c r="D40" s="150">
        <f t="shared" si="3"/>
        <v>0.026608183990010303</v>
      </c>
      <c r="E40" s="150">
        <f t="shared" si="3"/>
        <v>0.008135837656046974</v>
      </c>
      <c r="F40" s="150">
        <f t="shared" si="3"/>
        <v>0.0612829516474398</v>
      </c>
      <c r="G40" s="150">
        <f t="shared" si="3"/>
        <v>0.060675953693417606</v>
      </c>
      <c r="H40" s="150">
        <f t="shared" si="3"/>
        <v>0.02704176610222553</v>
      </c>
      <c r="I40" s="150">
        <f t="shared" si="3"/>
        <v>0.07612314368009576</v>
      </c>
      <c r="J40" s="150">
        <f t="shared" si="3"/>
        <v>0.00016090621020103946</v>
      </c>
      <c r="K40" s="150">
        <f t="shared" si="3"/>
        <v>-0.012500000000000067</v>
      </c>
      <c r="L40" s="150">
        <f t="shared" si="3"/>
        <v>0.023657167461478723</v>
      </c>
      <c r="M40" s="150">
        <f t="shared" si="3"/>
        <v>0.0055814870179702325</v>
      </c>
      <c r="N40" s="150">
        <f t="shared" si="3"/>
        <v>0.07709591661939252</v>
      </c>
      <c r="O40" s="150">
        <f t="shared" si="3"/>
        <v>0.027625688126715398</v>
      </c>
      <c r="P40" s="150">
        <f t="shared" si="3"/>
        <v>0.026850570528044404</v>
      </c>
      <c r="Q40" s="150">
        <f t="shared" si="3"/>
        <v>-0.010578453571132851</v>
      </c>
    </row>
    <row r="43" ht="11.25">
      <c r="A43" s="144" t="s">
        <v>173</v>
      </c>
    </row>
    <row r="44" ht="11.25">
      <c r="A44" s="151" t="s">
        <v>174</v>
      </c>
    </row>
    <row r="45" ht="11.25">
      <c r="A45" s="151"/>
    </row>
    <row r="46" spans="1:17" ht="11.25">
      <c r="A46" s="148"/>
      <c r="B46" s="148" t="s">
        <v>5</v>
      </c>
      <c r="C46" s="148" t="s">
        <v>7</v>
      </c>
      <c r="D46" s="148" t="s">
        <v>8</v>
      </c>
      <c r="E46" s="148" t="s">
        <v>9</v>
      </c>
      <c r="F46" s="148" t="s">
        <v>10</v>
      </c>
      <c r="G46" s="148" t="s">
        <v>11</v>
      </c>
      <c r="H46" s="148" t="s">
        <v>12</v>
      </c>
      <c r="I46" s="148" t="s">
        <v>13</v>
      </c>
      <c r="J46" s="148" t="s">
        <v>14</v>
      </c>
      <c r="K46" s="148" t="s">
        <v>15</v>
      </c>
      <c r="L46" s="148" t="s">
        <v>16</v>
      </c>
      <c r="M46" s="148" t="s">
        <v>17</v>
      </c>
      <c r="N46" s="148" t="s">
        <v>18</v>
      </c>
      <c r="O46" s="148" t="s">
        <v>19</v>
      </c>
      <c r="P46" s="148" t="s">
        <v>20</v>
      </c>
      <c r="Q46" s="148" t="s">
        <v>21</v>
      </c>
    </row>
    <row r="47" spans="1:17" ht="11.25">
      <c r="A47" s="137">
        <v>1990</v>
      </c>
      <c r="B47" s="137" t="e">
        <f>+#REF!/'[3]correlation_car+pkm+accidents'!B5*1000</f>
        <v>#REF!</v>
      </c>
      <c r="C47" s="137" t="e">
        <f>+#REF!/'[3]correlation_car+pkm+accidents'!C5*1000</f>
        <v>#REF!</v>
      </c>
      <c r="D47" s="137" t="e">
        <f>+#REF!/'[3]correlation_car+pkm+accidents'!D5*1000</f>
        <v>#REF!</v>
      </c>
      <c r="E47" s="137" t="e">
        <f>+#REF!/'[3]correlation_car+pkm+accidents'!E5*1000</f>
        <v>#REF!</v>
      </c>
      <c r="F47" s="137" t="e">
        <f>+#REF!/'[3]correlation_car+pkm+accidents'!F5*1000</f>
        <v>#REF!</v>
      </c>
      <c r="G47" s="137" t="e">
        <f>+#REF!/'[3]correlation_car+pkm+accidents'!G5*1000</f>
        <v>#REF!</v>
      </c>
      <c r="H47" s="137" t="e">
        <f>+#REF!/'[3]correlation_car+pkm+accidents'!H5*1000</f>
        <v>#REF!</v>
      </c>
      <c r="I47" s="137" t="e">
        <f>+#REF!/'[3]correlation_car+pkm+accidents'!I5*1000</f>
        <v>#REF!</v>
      </c>
      <c r="J47" s="137" t="e">
        <f>+#REF!/'[3]correlation_car+pkm+accidents'!J5*1000</f>
        <v>#REF!</v>
      </c>
      <c r="K47" s="137" t="e">
        <f>+#REF!/'[3]correlation_car+pkm+accidents'!K5*1000</f>
        <v>#REF!</v>
      </c>
      <c r="L47" s="137" t="e">
        <f>+#REF!/'[3]correlation_car+pkm+accidents'!L5*1000</f>
        <v>#REF!</v>
      </c>
      <c r="M47" s="137" t="e">
        <f>+#REF!/'[3]correlation_car+pkm+accidents'!M5*1000</f>
        <v>#REF!</v>
      </c>
      <c r="N47" s="137" t="e">
        <f>+#REF!/'[3]correlation_car+pkm+accidents'!N5*1000</f>
        <v>#REF!</v>
      </c>
      <c r="O47" s="137" t="e">
        <f>+#REF!/'[3]correlation_car+pkm+accidents'!O5*1000</f>
        <v>#REF!</v>
      </c>
      <c r="P47" s="137" t="e">
        <f>+#REF!/'[3]correlation_car+pkm+accidents'!P5*1000</f>
        <v>#REF!</v>
      </c>
      <c r="Q47" s="137" t="e">
        <f>+#REF!/'[3]correlation_car+pkm+accidents'!Q5*1000</f>
        <v>#REF!</v>
      </c>
    </row>
    <row r="48" spans="1:17" ht="11.25">
      <c r="A48" s="137">
        <v>1991</v>
      </c>
      <c r="B48" s="137">
        <f>+B5/'[3]correlation_car+pkm+accidents'!B6*1000</f>
        <v>21442.743737989826</v>
      </c>
      <c r="C48" s="137">
        <f>+C5/'[3]correlation_car+pkm+accidents'!C6*1000</f>
        <v>20881.6120906801</v>
      </c>
      <c r="D48" s="137">
        <f>+D5/'[3]correlation_car+pkm+accidents'!D6*1000</f>
        <v>32102.258469259723</v>
      </c>
      <c r="E48" s="137">
        <f>+E5/'[3]correlation_car+pkm+accidents'!E6*1000</f>
        <v>19033.503752855435</v>
      </c>
      <c r="F48" s="137">
        <f>+F5/'[3]correlation_car+pkm+accidents'!F6*1000</f>
        <v>11041.08047270681</v>
      </c>
      <c r="G48" s="137">
        <f>+G5/'[3]correlation_car+pkm+accidents'!G6*1000</f>
        <v>14584.828906436946</v>
      </c>
      <c r="H48" s="137">
        <f>+H5/'[3]correlation_car+pkm+accidents'!H6*1000</f>
        <v>25172.268907563026</v>
      </c>
      <c r="I48" s="137">
        <f>+I5/'[3]correlation_car+pkm+accidents'!I6*1000</f>
        <v>23414.634146341465</v>
      </c>
      <c r="J48" s="137">
        <f>+J5/'[3]correlation_car+pkm+accidents'!J6*1000</f>
        <v>18929.66414629858</v>
      </c>
      <c r="K48" s="137">
        <f>+K5/'[3]correlation_car+pkm+accidents'!K6*1000</f>
        <v>21614.583333333336</v>
      </c>
      <c r="L48" s="137">
        <f>+L5/'[3]correlation_car+pkm+accidents'!L6*1000</f>
        <v>22416.276557436082</v>
      </c>
      <c r="M48" s="137">
        <f>+M5/'[3]correlation_car+pkm+accidents'!M6*1000</f>
        <v>22709.67741935484</v>
      </c>
      <c r="N48" s="137">
        <f>+N5/'[3]correlation_car+pkm+accidents'!N6*1000</f>
        <v>21481.849825957233</v>
      </c>
      <c r="O48" s="137">
        <f>+O5/'[3]correlation_car+pkm+accidents'!O6*1000</f>
        <v>24128.96515860634</v>
      </c>
      <c r="P48" s="137">
        <f>+P5/'[3]correlation_car+pkm+accidents'!P6*1000</f>
        <v>23865.384383989207</v>
      </c>
      <c r="Q48" s="137">
        <f>+Q5/'[3]correlation_car+pkm+accidents'!Q6*1000</f>
        <v>27980.76923076923</v>
      </c>
    </row>
    <row r="49" spans="1:17" ht="11.25">
      <c r="A49" s="137">
        <v>1992</v>
      </c>
      <c r="B49" s="137">
        <f>+B6/'[3]correlation_car+pkm+accidents'!B7*1000</f>
        <v>21742.032646205094</v>
      </c>
      <c r="C49" s="137">
        <f>+C6/'[3]correlation_car+pkm+accidents'!C7*1000</f>
        <v>21039.542402387466</v>
      </c>
      <c r="D49" s="137">
        <f>+D6/'[3]correlation_car+pkm+accidents'!D7*1000</f>
        <v>32397.507788161995</v>
      </c>
      <c r="E49" s="137">
        <f>+E6/'[3]correlation_car+pkm+accidents'!E7*1000</f>
        <v>18950.11463356787</v>
      </c>
      <c r="F49" s="137">
        <f>+F6/'[3]correlation_car+pkm+accidents'!F7*1000</f>
        <v>11047.02022963368</v>
      </c>
      <c r="G49" s="137">
        <f>+G6/'[3]correlation_car+pkm+accidents'!G7*1000</f>
        <v>14789.268813921539</v>
      </c>
      <c r="H49" s="137">
        <f>+H6/'[3]correlation_car+pkm+accidents'!H7*1000</f>
        <v>25708.333333333332</v>
      </c>
      <c r="I49" s="137">
        <f>+I6/'[3]correlation_car+pkm+accidents'!I7*1000</f>
        <v>23076.923076923078</v>
      </c>
      <c r="J49" s="137">
        <f>+J6/'[3]correlation_car+pkm+accidents'!J7*1000</f>
        <v>20062.827047230716</v>
      </c>
      <c r="K49" s="137">
        <f>+K6/'[3]correlation_car+pkm+accidents'!K7*1000</f>
        <v>21393.034825870644</v>
      </c>
      <c r="L49" s="137">
        <f>+L6/'[3]correlation_car+pkm+accidents'!L7*1000</f>
        <v>22817.249911629548</v>
      </c>
      <c r="M49" s="137">
        <f>+M6/'[3]correlation_car+pkm+accidents'!M7*1000</f>
        <v>21355.93220338983</v>
      </c>
      <c r="N49" s="137">
        <f>+N6/'[3]correlation_car+pkm+accidents'!N7*1000</f>
        <v>23960.396039603962</v>
      </c>
      <c r="O49" s="137">
        <f>+O6/'[3]correlation_car+pkm+accidents'!O7*1000</f>
        <v>26033.057851239668</v>
      </c>
      <c r="P49" s="137">
        <f>+P6/'[3]correlation_car+pkm+accidents'!P7*1000</f>
        <v>24323.747579581905</v>
      </c>
      <c r="Q49" s="137">
        <f>+Q6/'[3]correlation_car+pkm+accidents'!Q7*1000</f>
        <v>27894.736842105263</v>
      </c>
    </row>
    <row r="50" spans="1:17" ht="11.25">
      <c r="A50" s="137">
        <v>1993</v>
      </c>
      <c r="B50" s="137">
        <f>+B7/'[3]correlation_car+pkm+accidents'!B8*1000</f>
        <v>21519.985116452648</v>
      </c>
      <c r="C50" s="137">
        <f>+C7/'[3]correlation_car+pkm+accidents'!C8*1000</f>
        <v>21143.552311435524</v>
      </c>
      <c r="D50" s="137">
        <f>+D7/'[3]correlation_car+pkm+accidents'!D8*1000</f>
        <v>32056.860321384425</v>
      </c>
      <c r="E50" s="137">
        <f>+E7/'[3]correlation_car+pkm+accidents'!E8*1000</f>
        <v>18757.070862902394</v>
      </c>
      <c r="F50" s="137">
        <f>+F7/'[3]correlation_car+pkm+accidents'!F8*1000</f>
        <v>11060.26557711951</v>
      </c>
      <c r="G50" s="137">
        <f>+G7/'[3]correlation_car+pkm+accidents'!G8*1000</f>
        <v>14763.597772555495</v>
      </c>
      <c r="H50" s="137">
        <f>+H7/'[3]correlation_car+pkm+accidents'!H8*1000</f>
        <v>25811.475409836065</v>
      </c>
      <c r="I50" s="137">
        <f>+I7/'[3]correlation_car+pkm+accidents'!I8*1000</f>
        <v>23120.089786756456</v>
      </c>
      <c r="J50" s="137">
        <f>+J7/'[3]correlation_car+pkm+accidents'!J8*1000</f>
        <v>19839.437474706596</v>
      </c>
      <c r="K50" s="137">
        <f>+K7/'[3]correlation_car+pkm+accidents'!K8*1000</f>
        <v>21634.615384615387</v>
      </c>
      <c r="L50" s="137">
        <f>+L7/'[3]correlation_car+pkm+accidents'!L8*1000</f>
        <v>21911.381407471763</v>
      </c>
      <c r="M50" s="137">
        <f>+M7/'[3]correlation_car+pkm+accidents'!M8*1000</f>
        <v>20166.32016632017</v>
      </c>
      <c r="N50" s="137">
        <f>+N7/'[3]correlation_car+pkm+accidents'!N8*1000</f>
        <v>23981.900452488688</v>
      </c>
      <c r="O50" s="137">
        <f>+O7/'[3]correlation_car+pkm+accidents'!O8*1000</f>
        <v>26534.97063534437</v>
      </c>
      <c r="P50" s="137">
        <f>+P7/'[3]correlation_car+pkm+accidents'!P8*1000</f>
        <v>23976.85196715518</v>
      </c>
      <c r="Q50" s="137">
        <f>+Q7/'[3]correlation_car+pkm+accidents'!Q8*1000</f>
        <v>27417.840375586853</v>
      </c>
    </row>
    <row r="51" spans="1:17" ht="11.25">
      <c r="A51" s="137">
        <v>1994</v>
      </c>
      <c r="B51" s="137">
        <f>+B8/'[3]correlation_car+pkm+accidents'!B9*1000</f>
        <v>21389.494339621542</v>
      </c>
      <c r="C51" s="137">
        <f>+C8/'[3]correlation_car+pkm+accidents'!C9*1000</f>
        <v>21447.39995207285</v>
      </c>
      <c r="D51" s="137">
        <f>+D8/'[3]correlation_car+pkm+accidents'!D9*1000</f>
        <v>32288.000000000004</v>
      </c>
      <c r="E51" s="137">
        <f>+E8/'[3]correlation_car+pkm+accidents'!E9*1000</f>
        <v>18086.25675845593</v>
      </c>
      <c r="F51" s="137">
        <f>+F8/'[3]correlation_car+pkm+accidents'!F9*1000</f>
        <v>11686.113789778206</v>
      </c>
      <c r="G51" s="137">
        <f>+G8/'[3]correlation_car+pkm+accidents'!G9*1000</f>
        <v>14939.223503182235</v>
      </c>
      <c r="H51" s="137">
        <f>+H8/'[3]correlation_car+pkm+accidents'!H9*1000</f>
        <v>26152.61044176707</v>
      </c>
      <c r="I51" s="137">
        <f>+I8/'[3]correlation_car+pkm+accidents'!I9*1000</f>
        <v>23216.18743343983</v>
      </c>
      <c r="J51" s="137">
        <f>+J8/'[3]correlation_car+pkm+accidents'!J9*1000</f>
        <v>19805.93333333333</v>
      </c>
      <c r="K51" s="137">
        <f>+K8/'[3]correlation_car+pkm+accidents'!K9*1000</f>
        <v>21100.917431192658</v>
      </c>
      <c r="L51" s="137">
        <f>+L8/'[3]correlation_car+pkm+accidents'!L9*1000</f>
        <v>21889.870836165872</v>
      </c>
      <c r="M51" s="137">
        <f>+M8/'[3]correlation_car+pkm+accidents'!M9*1000</f>
        <v>19597.701149425287</v>
      </c>
      <c r="N51" s="137">
        <f>+N8/'[3]correlation_car+pkm+accidents'!N9*1000</f>
        <v>24000</v>
      </c>
      <c r="O51" s="137">
        <f>+O8/'[3]correlation_car+pkm+accidents'!O9*1000</f>
        <v>26495.726495726492</v>
      </c>
      <c r="P51" s="137">
        <f>+P8/'[3]correlation_car+pkm+accidents'!P9*1000</f>
        <v>24167.734399580935</v>
      </c>
      <c r="Q51" s="137">
        <f>+Q8/'[3]correlation_car+pkm+accidents'!Q9*1000</f>
        <v>27235.023041474655</v>
      </c>
    </row>
    <row r="52" spans="1:17" ht="11.25">
      <c r="A52" s="137">
        <v>1995</v>
      </c>
      <c r="B52" s="137">
        <f>+B9/'[3]correlation_car+pkm+accidents'!B10*1000</f>
        <v>21420.295840058614</v>
      </c>
      <c r="C52" s="137">
        <f>+C9/'[3]correlation_car+pkm+accidents'!C10*1000</f>
        <v>22810.671659255793</v>
      </c>
      <c r="D52" s="137">
        <f>+D9/'[3]correlation_car+pkm+accidents'!D10*1000</f>
        <v>32092.814371257482</v>
      </c>
      <c r="E52" s="137">
        <f>+E9/'[3]correlation_car+pkm+accidents'!E10*1000</f>
        <v>18068.516160715462</v>
      </c>
      <c r="F52" s="137">
        <f>+F9/'[3]correlation_car+pkm+accidents'!F10*1000</f>
        <v>11692.063492063491</v>
      </c>
      <c r="G52" s="137">
        <f>+G9/'[3]correlation_car+pkm+accidents'!G10*1000</f>
        <v>14884.403668691939</v>
      </c>
      <c r="H52" s="137">
        <f>+H9/'[3]correlation_car+pkm+accidents'!H10*1000</f>
        <v>25501.99203187251</v>
      </c>
      <c r="I52" s="137">
        <f>+I9/'[3]correlation_car+pkm+accidents'!I10*1000</f>
        <v>24293.193717277485</v>
      </c>
      <c r="J52" s="137">
        <f>+J9/'[3]correlation_car+pkm+accidents'!J10*1000</f>
        <v>20287.557755775575</v>
      </c>
      <c r="K52" s="137">
        <f>+K9/'[3]correlation_car+pkm+accidents'!K10*1000</f>
        <v>20524.01746724891</v>
      </c>
      <c r="L52" s="137">
        <f>+L9/'[3]correlation_car+pkm+accidents'!L10*1000</f>
        <v>23326.824072430325</v>
      </c>
      <c r="M52" s="137">
        <f>+M9/'[3]correlation_car+pkm+accidents'!M10*1000</f>
        <v>18948.24707846411</v>
      </c>
      <c r="N52" s="137">
        <f>+N9/'[3]correlation_car+pkm+accidents'!N10*1000</f>
        <v>23984.375</v>
      </c>
      <c r="O52" s="137">
        <f>+O9/'[3]correlation_car+pkm+accidents'!O10*1000</f>
        <v>26315.789473684214</v>
      </c>
      <c r="P52" s="137">
        <f>+P9/'[3]correlation_car+pkm+accidents'!P10*1000</f>
        <v>24372.308199892475</v>
      </c>
      <c r="Q52" s="137">
        <f>+Q9/'[3]correlation_car+pkm+accidents'!Q10*1000</f>
        <v>27214.61187214612</v>
      </c>
    </row>
    <row r="53" spans="1:17" ht="11.25">
      <c r="A53" s="137">
        <v>1996</v>
      </c>
      <c r="B53" s="137">
        <f>+B10/'[3]correlation_car+pkm+accidents'!B11*1000</f>
        <v>21289.93207853678</v>
      </c>
      <c r="C53" s="137">
        <f>+C10/'[3]correlation_car+pkm+accidents'!C11*1000</f>
        <v>22604.28670200507</v>
      </c>
      <c r="D53" s="137">
        <f>+D10/'[3]correlation_car+pkm+accidents'!D11*1000</f>
        <v>31576.76825761932</v>
      </c>
      <c r="E53" s="137">
        <f>+E10/'[3]correlation_car+pkm+accidents'!E11*1000</f>
        <v>17829.60866595101</v>
      </c>
      <c r="F53" s="137">
        <f>+F10/'[3]correlation_car+pkm+accidents'!F11*1000</f>
        <v>12139.803334758444</v>
      </c>
      <c r="G53" s="137">
        <f>+G10/'[3]correlation_car+pkm+accidents'!G11*1000</f>
        <v>14853.79131585613</v>
      </c>
      <c r="H53" s="137">
        <f>+H10/'[3]correlation_car+pkm+accidents'!H11*1000</f>
        <v>25454.901960784315</v>
      </c>
      <c r="I53" s="137">
        <f>+I10/'[3]correlation_car+pkm+accidents'!I11*1000</f>
        <v>25430.597771023306</v>
      </c>
      <c r="J53" s="137">
        <f>+J10/'[3]correlation_car+pkm+accidents'!J11*1000</f>
        <v>20592.21452719336</v>
      </c>
      <c r="K53" s="137">
        <f>+K10/'[3]correlation_car+pkm+accidents'!K11*1000</f>
        <v>20689.65517241379</v>
      </c>
      <c r="L53" s="137">
        <f>+L10/'[3]correlation_car+pkm+accidents'!L11*1000</f>
        <v>23118.4668989547</v>
      </c>
      <c r="M53" s="137">
        <f>+M10/'[3]correlation_car+pkm+accidents'!M11*1000</f>
        <v>17800.054185857494</v>
      </c>
      <c r="N53" s="137">
        <f>+N10/'[3]correlation_car+pkm+accidents'!N11*1000</f>
        <v>24000</v>
      </c>
      <c r="O53" s="137">
        <f>+O10/'[3]correlation_car+pkm+accidents'!O11*1000</f>
        <v>25939.269171384458</v>
      </c>
      <c r="P53" s="137">
        <f>+P10/'[3]correlation_car+pkm+accidents'!P11*1000</f>
        <v>24302.844188225215</v>
      </c>
      <c r="Q53" s="137">
        <f>+Q10/'[3]correlation_car+pkm+accidents'!Q11*1000</f>
        <v>26578.94736842105</v>
      </c>
    </row>
    <row r="54" spans="1:17" ht="11.25">
      <c r="A54" s="137">
        <v>1997</v>
      </c>
      <c r="B54" s="137">
        <f>+B11/'[3]correlation_car+pkm+accidents'!B12*1000</f>
        <v>21224.555066024957</v>
      </c>
      <c r="C54" s="137">
        <f>+C11/'[3]correlation_car+pkm+accidents'!C12*1000</f>
        <v>22486.97621744054</v>
      </c>
      <c r="D54" s="137">
        <f>+D11/'[3]correlation_car+pkm+accidents'!D12*1000</f>
        <v>31689.287717330346</v>
      </c>
      <c r="E54" s="137">
        <f>+E11/'[3]correlation_car+pkm+accidents'!E12*1000</f>
        <v>17774.609713914448</v>
      </c>
      <c r="F54" s="137">
        <f>+F11/'[3]correlation_car+pkm+accidents'!F12*1000</f>
        <v>12040.800000000001</v>
      </c>
      <c r="G54" s="137">
        <f>+G11/'[3]correlation_car+pkm+accidents'!G12*1000</f>
        <v>14893.217564383307</v>
      </c>
      <c r="H54" s="137">
        <f>+H11/'[3]correlation_car+pkm+accidents'!H12*1000</f>
        <v>25277.884246837868</v>
      </c>
      <c r="I54" s="137">
        <f>+I11/'[3]correlation_car+pkm+accidents'!I12*1000</f>
        <v>23889.280677009872</v>
      </c>
      <c r="J54" s="137">
        <f>+J11/'[3]correlation_car+pkm+accidents'!J12*1000</f>
        <v>20781.269314596142</v>
      </c>
      <c r="K54" s="137">
        <f>+K11/'[3]correlation_car+pkm+accidents'!K12*1000</f>
        <v>20692.56756756757</v>
      </c>
      <c r="L54" s="137">
        <f>+L11/'[3]correlation_car+pkm+accidents'!L12*1000</f>
        <v>23135.593220338982</v>
      </c>
      <c r="M54" s="137">
        <f>+M11/'[3]correlation_car+pkm+accidents'!M12*1000</f>
        <v>17713.152676801055</v>
      </c>
      <c r="N54" s="137">
        <f>+N11/'[3]correlation_car+pkm+accidents'!N12*1000</f>
        <v>24413.793103448275</v>
      </c>
      <c r="O54" s="137">
        <f>+O11/'[3]correlation_car+pkm+accidents'!O12*1000</f>
        <v>26641.342846876443</v>
      </c>
      <c r="P54" s="137">
        <f>+P11/'[3]correlation_car+pkm+accidents'!P12*1000</f>
        <v>23998.798574101573</v>
      </c>
      <c r="Q54" s="137">
        <f>+Q11/'[3]correlation_car+pkm+accidents'!Q12*1000</f>
        <v>26127.659574468085</v>
      </c>
    </row>
    <row r="55" spans="1:17" ht="11.25">
      <c r="A55" s="137">
        <v>1998</v>
      </c>
      <c r="B55" s="137">
        <f>+B12/'[3]correlation_car+pkm+accidents'!B13*1000</f>
        <v>21456.06112418326</v>
      </c>
      <c r="C55" s="137">
        <f>+C12/'[3]correlation_car+pkm+accidents'!C13*1000</f>
        <v>22891.80765805877</v>
      </c>
      <c r="D55" s="137">
        <f>+D12/'[3]correlation_car+pkm+accidents'!D13*1000</f>
        <v>31692.900385250414</v>
      </c>
      <c r="E55" s="137">
        <f>+E12/'[3]correlation_car+pkm+accidents'!E13*1000</f>
        <v>17728.003418087508</v>
      </c>
      <c r="F55" s="137">
        <f>+F12/'[3]correlation_car+pkm+accidents'!F13*1000</f>
        <v>11991.405082212255</v>
      </c>
      <c r="G55" s="137">
        <f>+G12/'[3]correlation_car+pkm+accidents'!G13*1000</f>
        <v>17318.940809968848</v>
      </c>
      <c r="H55" s="137">
        <f>+H12/'[3]correlation_car+pkm+accidents'!H13*1000</f>
        <v>25311.45095113764</v>
      </c>
      <c r="I55" s="137">
        <f>+I12/'[3]correlation_car+pkm+accidents'!I13*1000</f>
        <v>24804.177545691906</v>
      </c>
      <c r="J55" s="137">
        <f>+J12/'[3]correlation_car+pkm+accidents'!J13*1000</f>
        <v>21119.66465844251</v>
      </c>
      <c r="K55" s="137">
        <f>+K12/'[3]correlation_car+pkm+accidents'!K13*1000</f>
        <v>19731.18237137242</v>
      </c>
      <c r="L55" s="137">
        <f>+L12/'[3]correlation_car+pkm+accidents'!L13*1000</f>
        <v>22849.999999999996</v>
      </c>
      <c r="M55" s="137">
        <f>+M12/'[3]correlation_car+pkm+accidents'!M13*1000</f>
        <v>17622.845382042706</v>
      </c>
      <c r="N55" s="137">
        <f>+N12/'[3]correlation_car+pkm+accidents'!N13*1000</f>
        <v>24387.096774193546</v>
      </c>
      <c r="O55" s="137">
        <f>+O12/'[3]correlation_car+pkm+accidents'!O13*1000</f>
        <v>26371.777744792435</v>
      </c>
      <c r="P55" s="137">
        <f>+P12/'[3]correlation_car+pkm+accidents'!P13*1000</f>
        <v>23601.720416542103</v>
      </c>
      <c r="Q55" s="137">
        <f>+Q12/'[3]correlation_car+pkm+accidents'!Q13*1000</f>
        <v>25857.74058577406</v>
      </c>
    </row>
    <row r="56" spans="1:17" ht="11.25">
      <c r="A56" s="137">
        <v>1999</v>
      </c>
      <c r="B56" s="137">
        <f>+B13/'[3]correlation_car+pkm+accidents'!B14*1000</f>
        <v>21334.48962545896</v>
      </c>
      <c r="C56" s="137">
        <f>+C13/'[3]correlation_car+pkm+accidents'!C14*1000</f>
        <v>22819.565217391308</v>
      </c>
      <c r="D56" s="137">
        <f>+D13/'[3]correlation_car+pkm+accidents'!D14*1000</f>
        <v>32646.67033571822</v>
      </c>
      <c r="E56" s="137">
        <f>+E13/'[3]correlation_car+pkm+accidents'!E14*1000</f>
        <v>17616.32761269098</v>
      </c>
      <c r="F56" s="137">
        <f>+F13/'[3]correlation_car+pkm+accidents'!F14*1000</f>
        <v>11768.96551724138</v>
      </c>
      <c r="G56" s="137">
        <f>+G13/'[3]correlation_car+pkm+accidents'!G14*1000</f>
        <v>17675.868263473058</v>
      </c>
      <c r="H56" s="137">
        <f>+H13/'[3]correlation_car+pkm+accidents'!H14*1000</f>
        <v>25440</v>
      </c>
      <c r="I56" s="137">
        <f>+I13/'[3]correlation_car+pkm+accidents'!I14*1000</f>
        <v>23846.153846153848</v>
      </c>
      <c r="J56" s="137">
        <f>+J13/'[3]correlation_car+pkm+accidents'!J14*1000</f>
        <v>21124.808917197453</v>
      </c>
      <c r="K56" s="137">
        <f>+K13/'[3]correlation_car+pkm+accidents'!K14*1000</f>
        <v>18962.162900149044</v>
      </c>
      <c r="L56" s="137">
        <f>+L13/'[3]correlation_car+pkm+accidents'!L14*1000</f>
        <v>22428.57142857143</v>
      </c>
      <c r="M56" s="137">
        <f>+M13/'[3]correlation_car+pkm+accidents'!M14*1000</f>
        <v>17250</v>
      </c>
      <c r="N56" s="137">
        <f>+N13/'[3]correlation_car+pkm+accidents'!N14*1000</f>
        <v>24727.272727272728</v>
      </c>
      <c r="O56" s="137">
        <f>+O13/'[3]correlation_car+pkm+accidents'!O14*1000</f>
        <v>26142.85714285714</v>
      </c>
      <c r="P56" s="137">
        <f>+P13/'[3]correlation_car+pkm+accidents'!P14*1000</f>
        <v>23579.212526019473</v>
      </c>
      <c r="Q56" s="137">
        <f>+Q13/'[3]correlation_car+pkm+accidents'!Q14*1000</f>
        <v>24959.349593495932</v>
      </c>
    </row>
    <row r="58" spans="2:17" ht="11.25"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</row>
  </sheetData>
  <conditionalFormatting sqref="B5:B15">
    <cfRule type="cellIs" priority="1" dxfId="2" operator="notEqual" stopIfTrue="1">
      <formula>SUM($C5:$Q5)</formula>
    </cfRule>
  </conditionalFormatting>
  <conditionalFormatting sqref="B20:Q20 B39:Q39">
    <cfRule type="cellIs" priority="2" dxfId="1" operator="lessThanOrEqual" stopIfTrue="1">
      <formula>0</formula>
    </cfRule>
    <cfRule type="cellIs" priority="3" dxfId="0" operator="greaterThan" stopIfTrue="1">
      <formula>0</formula>
    </cfRule>
  </conditionalFormatting>
  <conditionalFormatting sqref="B40:Q40 B38:Q38 B19:S19 B21:S21">
    <cfRule type="cellIs" priority="4" dxfId="1" operator="greaterThan" stopIfTrue="1">
      <formula>0</formula>
    </cfRule>
    <cfRule type="cellIs" priority="5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C19"/>
  <sheetViews>
    <sheetView workbookViewId="0" topLeftCell="A1">
      <selection activeCell="D16" sqref="D16"/>
    </sheetView>
  </sheetViews>
  <sheetFormatPr defaultColWidth="9.140625" defaultRowHeight="12.75"/>
  <cols>
    <col min="1" max="16384" width="6.7109375" style="3" customWidth="1"/>
  </cols>
  <sheetData>
    <row r="1" spans="1:4" ht="11.25">
      <c r="A1" s="2" t="s">
        <v>124</v>
      </c>
      <c r="B1" s="2"/>
      <c r="C1" s="2"/>
      <c r="D1" s="2"/>
    </row>
    <row r="2" spans="1:3" ht="11.25">
      <c r="A2" s="29" t="s">
        <v>3</v>
      </c>
      <c r="B2" s="7"/>
      <c r="C2" s="7"/>
    </row>
    <row r="3" spans="1:55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100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ht="12">
      <c r="A4" s="18"/>
      <c r="B4" s="7"/>
      <c r="C4" s="7"/>
      <c r="T4" s="100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ht="12">
      <c r="A5" s="92"/>
      <c r="B5" s="93" t="s">
        <v>66</v>
      </c>
      <c r="C5" s="93" t="s">
        <v>67</v>
      </c>
      <c r="D5" s="93" t="s">
        <v>68</v>
      </c>
      <c r="E5" s="93" t="s">
        <v>10</v>
      </c>
      <c r="F5" s="93" t="s">
        <v>69</v>
      </c>
      <c r="G5" s="93" t="s">
        <v>70</v>
      </c>
      <c r="H5" s="93" t="s">
        <v>71</v>
      </c>
      <c r="I5" s="93" t="s">
        <v>72</v>
      </c>
      <c r="J5" s="93" t="s">
        <v>73</v>
      </c>
      <c r="K5" s="93" t="s">
        <v>74</v>
      </c>
      <c r="L5" s="93" t="s">
        <v>75</v>
      </c>
      <c r="M5" s="93" t="s">
        <v>76</v>
      </c>
      <c r="N5" s="93" t="s">
        <v>19</v>
      </c>
      <c r="O5" s="93" t="s">
        <v>20</v>
      </c>
      <c r="P5" s="93" t="s">
        <v>79</v>
      </c>
      <c r="Q5" s="94" t="s">
        <v>112</v>
      </c>
      <c r="R5" s="94" t="s">
        <v>113</v>
      </c>
      <c r="S5" s="95" t="s">
        <v>114</v>
      </c>
      <c r="T5" s="95" t="s">
        <v>115</v>
      </c>
      <c r="U5" s="95" t="s">
        <v>116</v>
      </c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ht="12">
      <c r="A6" s="96">
        <v>1991</v>
      </c>
      <c r="B6" s="272">
        <v>82.9</v>
      </c>
      <c r="C6" s="19">
        <v>51.171</v>
      </c>
      <c r="D6" s="19">
        <v>699.9</v>
      </c>
      <c r="E6" s="19">
        <v>19.62</v>
      </c>
      <c r="F6" s="19">
        <v>182.85</v>
      </c>
      <c r="G6" s="19">
        <v>599.1</v>
      </c>
      <c r="H6" s="19">
        <v>19.2</v>
      </c>
      <c r="I6" s="19">
        <v>538.265</v>
      </c>
      <c r="J6" s="19">
        <v>4.15</v>
      </c>
      <c r="K6" s="19">
        <v>124.5</v>
      </c>
      <c r="L6" s="19">
        <v>70.4</v>
      </c>
      <c r="M6" s="19">
        <v>43.2</v>
      </c>
      <c r="N6" s="19">
        <v>46.4</v>
      </c>
      <c r="O6" s="19">
        <v>86.36882608565693</v>
      </c>
      <c r="P6" s="19">
        <v>582</v>
      </c>
      <c r="Q6" s="19" t="s">
        <v>4</v>
      </c>
      <c r="R6" s="19">
        <v>43.01</v>
      </c>
      <c r="S6" s="272">
        <f>SUM(B6:P6)</f>
        <v>3150.0248260856574</v>
      </c>
      <c r="T6" s="19">
        <v>5337.40276442</v>
      </c>
      <c r="U6" s="19" t="s">
        <v>4</v>
      </c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ht="12">
      <c r="A7" s="96">
        <v>1992</v>
      </c>
      <c r="B7" s="272">
        <v>84.6</v>
      </c>
      <c r="C7" s="19">
        <v>51.998</v>
      </c>
      <c r="D7" s="19">
        <v>719.1</v>
      </c>
      <c r="E7" s="19">
        <v>20.205</v>
      </c>
      <c r="F7" s="19">
        <v>193.769</v>
      </c>
      <c r="G7" s="19">
        <v>617</v>
      </c>
      <c r="H7" s="19">
        <v>19.8</v>
      </c>
      <c r="I7" s="19">
        <v>590.449</v>
      </c>
      <c r="J7" s="19">
        <v>4.3</v>
      </c>
      <c r="K7" s="19">
        <v>129.1</v>
      </c>
      <c r="L7" s="19">
        <v>69.3</v>
      </c>
      <c r="M7" s="19">
        <v>48.4</v>
      </c>
      <c r="N7" s="19">
        <v>50.4</v>
      </c>
      <c r="O7" s="19">
        <v>87.29793006311945</v>
      </c>
      <c r="P7" s="19">
        <v>583</v>
      </c>
      <c r="Q7" s="19" t="s">
        <v>4</v>
      </c>
      <c r="R7" s="19">
        <v>43.17</v>
      </c>
      <c r="S7" s="272">
        <f>SUM(B7:P7)</f>
        <v>3268.71893006312</v>
      </c>
      <c r="T7" s="19">
        <v>5486.518142710001</v>
      </c>
      <c r="U7" s="19" t="s">
        <v>4</v>
      </c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ht="12">
      <c r="A8" s="96">
        <v>1993</v>
      </c>
      <c r="B8" s="272">
        <v>86.9</v>
      </c>
      <c r="C8" s="19">
        <v>51.868</v>
      </c>
      <c r="D8" s="19">
        <v>729.5</v>
      </c>
      <c r="E8" s="19">
        <v>21.656</v>
      </c>
      <c r="F8" s="19">
        <v>198.433</v>
      </c>
      <c r="G8" s="19">
        <v>629.8</v>
      </c>
      <c r="H8" s="19">
        <v>20.6</v>
      </c>
      <c r="I8" s="19">
        <v>588.279</v>
      </c>
      <c r="J8" s="19">
        <v>4.5</v>
      </c>
      <c r="K8" s="19">
        <v>126.1</v>
      </c>
      <c r="L8" s="19">
        <v>67.9</v>
      </c>
      <c r="M8" s="19">
        <v>53</v>
      </c>
      <c r="N8" s="19">
        <v>49.7</v>
      </c>
      <c r="O8" s="19">
        <v>85.50145411487537</v>
      </c>
      <c r="P8" s="19">
        <v>584</v>
      </c>
      <c r="Q8" s="19" t="s">
        <v>4</v>
      </c>
      <c r="R8" s="19">
        <v>43.94</v>
      </c>
      <c r="S8" s="272">
        <f>SUM(B8:P8)</f>
        <v>3297.737454114875</v>
      </c>
      <c r="T8" s="19">
        <v>5577.02165741</v>
      </c>
      <c r="U8" s="19" t="s">
        <v>4</v>
      </c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ht="12">
      <c r="A9" s="96">
        <v>1994</v>
      </c>
      <c r="B9" s="272">
        <v>89.5</v>
      </c>
      <c r="C9" s="19">
        <v>52.468</v>
      </c>
      <c r="D9" s="19">
        <v>719.2</v>
      </c>
      <c r="E9" s="19">
        <v>24.237</v>
      </c>
      <c r="F9" s="19">
        <v>205.172</v>
      </c>
      <c r="G9" s="19">
        <v>651.2</v>
      </c>
      <c r="H9" s="19">
        <v>21.8</v>
      </c>
      <c r="I9" s="19">
        <v>594.178</v>
      </c>
      <c r="J9" s="19">
        <v>4.6</v>
      </c>
      <c r="K9" s="19">
        <v>128.8</v>
      </c>
      <c r="L9" s="19">
        <v>68.2</v>
      </c>
      <c r="M9" s="19">
        <v>57.6</v>
      </c>
      <c r="N9" s="19">
        <v>49.6</v>
      </c>
      <c r="O9" s="19">
        <v>86.85883743209388</v>
      </c>
      <c r="P9" s="19">
        <v>591</v>
      </c>
      <c r="Q9" s="19" t="s">
        <v>4</v>
      </c>
      <c r="R9" s="19">
        <v>44.53</v>
      </c>
      <c r="S9" s="272">
        <f>SUM(B9:P9)</f>
        <v>3344.4138374320937</v>
      </c>
      <c r="T9" s="19">
        <v>5662.127057559999</v>
      </c>
      <c r="U9" s="19">
        <v>640.384</v>
      </c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ht="12">
      <c r="A10" s="96">
        <v>1995</v>
      </c>
      <c r="B10" s="19">
        <v>97.47</v>
      </c>
      <c r="C10" s="19">
        <v>53.595</v>
      </c>
      <c r="D10" s="19">
        <v>730.0403269575476</v>
      </c>
      <c r="E10" s="19">
        <v>25.781</v>
      </c>
      <c r="F10" s="19">
        <v>211.541</v>
      </c>
      <c r="G10" s="19">
        <v>640.1</v>
      </c>
      <c r="H10" s="19">
        <v>23.2</v>
      </c>
      <c r="I10" s="19">
        <v>614.713</v>
      </c>
      <c r="J10" s="19">
        <v>4.7</v>
      </c>
      <c r="K10" s="19">
        <v>131.4</v>
      </c>
      <c r="L10" s="19">
        <v>68.1</v>
      </c>
      <c r="M10" s="19">
        <v>61.4</v>
      </c>
      <c r="N10" s="19">
        <v>50</v>
      </c>
      <c r="O10" s="19">
        <v>88.49585107380958</v>
      </c>
      <c r="P10" s="19">
        <v>596</v>
      </c>
      <c r="Q10" s="19">
        <v>3.026</v>
      </c>
      <c r="R10" s="19">
        <v>44.73</v>
      </c>
      <c r="S10" s="19">
        <v>3396.536178031357</v>
      </c>
      <c r="T10" s="19">
        <v>5739.235084110001</v>
      </c>
      <c r="U10" s="19">
        <v>651.442</v>
      </c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ht="12">
      <c r="A11" s="96">
        <v>1996</v>
      </c>
      <c r="B11" s="19">
        <v>98.08</v>
      </c>
      <c r="C11" s="19">
        <v>54.912</v>
      </c>
      <c r="D11" s="19">
        <v>730.8</v>
      </c>
      <c r="E11" s="19">
        <v>28.395</v>
      </c>
      <c r="F11" s="19">
        <v>219.15</v>
      </c>
      <c r="G11" s="19">
        <v>649.1</v>
      </c>
      <c r="H11" s="19">
        <v>25.1</v>
      </c>
      <c r="I11" s="19">
        <v>627.383</v>
      </c>
      <c r="J11" s="19">
        <v>4.8</v>
      </c>
      <c r="K11" s="19">
        <v>132.7</v>
      </c>
      <c r="L11" s="19">
        <v>65.7</v>
      </c>
      <c r="M11" s="19">
        <v>66</v>
      </c>
      <c r="N11" s="19">
        <v>50.4</v>
      </c>
      <c r="O11" s="19">
        <v>88.82689550796316</v>
      </c>
      <c r="P11" s="19">
        <v>606</v>
      </c>
      <c r="Q11" s="19">
        <v>3.168</v>
      </c>
      <c r="R11" s="19">
        <v>46.43</v>
      </c>
      <c r="S11" s="19">
        <v>3447.346895507963</v>
      </c>
      <c r="T11" s="19">
        <v>5914.9961459999995</v>
      </c>
      <c r="U11" s="19">
        <v>684.177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ht="12">
      <c r="A12" s="96">
        <v>1997</v>
      </c>
      <c r="B12" s="19">
        <v>99.28</v>
      </c>
      <c r="C12" s="19">
        <v>56.502</v>
      </c>
      <c r="D12" s="19">
        <v>735.3711530840685</v>
      </c>
      <c r="E12" s="19">
        <v>30.102</v>
      </c>
      <c r="F12" s="19">
        <v>227.827</v>
      </c>
      <c r="G12" s="19">
        <v>659.5</v>
      </c>
      <c r="H12" s="19">
        <v>27.1</v>
      </c>
      <c r="I12" s="19">
        <v>638.837</v>
      </c>
      <c r="J12" s="19">
        <v>4.9</v>
      </c>
      <c r="K12" s="19">
        <v>136.5</v>
      </c>
      <c r="L12" s="19">
        <v>67</v>
      </c>
      <c r="M12" s="19">
        <v>70.8</v>
      </c>
      <c r="N12" s="19">
        <v>51.9</v>
      </c>
      <c r="O12" s="19">
        <v>88.86275136018331</v>
      </c>
      <c r="P12" s="19">
        <v>614</v>
      </c>
      <c r="Q12" s="19">
        <v>3.36</v>
      </c>
      <c r="R12" s="19">
        <v>46.46</v>
      </c>
      <c r="S12" s="19">
        <v>3508.481904444252</v>
      </c>
      <c r="T12" s="19">
        <v>6088.900084</v>
      </c>
      <c r="U12" s="19">
        <v>704.127</v>
      </c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21" ht="12">
      <c r="A13" s="96">
        <v>1998</v>
      </c>
      <c r="B13" s="19">
        <v>102.83</v>
      </c>
      <c r="C13" s="19">
        <v>57.586</v>
      </c>
      <c r="D13" s="19">
        <v>738.7968144453788</v>
      </c>
      <c r="E13" s="19">
        <v>32.089</v>
      </c>
      <c r="F13" s="19">
        <v>277.969</v>
      </c>
      <c r="G13" s="19">
        <v>678.6</v>
      </c>
      <c r="H13" s="19">
        <v>28.5</v>
      </c>
      <c r="I13" s="19">
        <v>662.545</v>
      </c>
      <c r="J13" s="19">
        <v>5</v>
      </c>
      <c r="K13" s="19">
        <v>137.1</v>
      </c>
      <c r="L13" s="19">
        <v>68.5</v>
      </c>
      <c r="M13" s="19">
        <v>75.6</v>
      </c>
      <c r="N13" s="19">
        <v>53.3</v>
      </c>
      <c r="O13" s="19">
        <v>89.49772381952765</v>
      </c>
      <c r="P13" s="19">
        <v>618</v>
      </c>
      <c r="Q13" s="19">
        <v>3.561</v>
      </c>
      <c r="R13" s="19">
        <v>47.75</v>
      </c>
      <c r="S13" s="19">
        <v>3625.9135382649065</v>
      </c>
      <c r="T13" s="19">
        <v>6255.466982</v>
      </c>
      <c r="U13" s="19">
        <v>723.791</v>
      </c>
    </row>
    <row r="14" spans="1:21" ht="12">
      <c r="A14" s="96">
        <v>1999</v>
      </c>
      <c r="B14" s="19">
        <v>104.97</v>
      </c>
      <c r="C14" s="19">
        <v>59.319</v>
      </c>
      <c r="D14" s="19">
        <v>745.1706580168284</v>
      </c>
      <c r="E14" s="19">
        <v>34.13</v>
      </c>
      <c r="F14" s="19">
        <v>295.187</v>
      </c>
      <c r="G14" s="19">
        <v>699.6</v>
      </c>
      <c r="H14" s="19">
        <v>31</v>
      </c>
      <c r="I14" s="19">
        <v>663.319</v>
      </c>
      <c r="J14" s="19">
        <v>5</v>
      </c>
      <c r="K14" s="19">
        <v>141.3</v>
      </c>
      <c r="L14" s="19">
        <v>69</v>
      </c>
      <c r="M14" s="19">
        <v>81.6</v>
      </c>
      <c r="N14" s="19">
        <v>54.9</v>
      </c>
      <c r="O14" s="19">
        <v>91.95892885147595</v>
      </c>
      <c r="P14" s="19">
        <v>614</v>
      </c>
      <c r="Q14" s="19">
        <v>3.712</v>
      </c>
      <c r="R14" s="19">
        <v>48.22</v>
      </c>
      <c r="S14" s="19">
        <v>3690.4545868683044</v>
      </c>
      <c r="T14" s="19">
        <v>6319.339455</v>
      </c>
      <c r="U14" s="19">
        <v>733.437</v>
      </c>
    </row>
    <row r="15" spans="1:21" ht="12">
      <c r="A15" s="96">
        <v>2000</v>
      </c>
      <c r="B15" s="19">
        <v>106.13</v>
      </c>
      <c r="C15" s="19">
        <v>59.124</v>
      </c>
      <c r="D15" s="19">
        <v>714.5020218432942</v>
      </c>
      <c r="E15" s="19">
        <v>34.014</v>
      </c>
      <c r="F15" s="136">
        <v>302.611</v>
      </c>
      <c r="G15" s="136">
        <v>699.6</v>
      </c>
      <c r="H15" s="19">
        <v>32.39145524831953</v>
      </c>
      <c r="I15" s="19">
        <v>665.206</v>
      </c>
      <c r="J15" s="19">
        <v>5.102198727619278</v>
      </c>
      <c r="K15" s="19">
        <v>141.1</v>
      </c>
      <c r="L15" s="19">
        <v>73.64626593408497</v>
      </c>
      <c r="M15" s="19">
        <v>81.323</v>
      </c>
      <c r="N15" s="19">
        <v>55.7</v>
      </c>
      <c r="O15" s="19">
        <v>92.88436658891044</v>
      </c>
      <c r="P15" s="19">
        <v>613</v>
      </c>
      <c r="Q15" s="19">
        <v>3.774</v>
      </c>
      <c r="R15" s="19">
        <v>48.86</v>
      </c>
      <c r="S15" s="19">
        <v>3676.334308342228</v>
      </c>
      <c r="T15" s="19">
        <v>6462.118897</v>
      </c>
      <c r="U15" s="19">
        <v>741.148</v>
      </c>
    </row>
    <row r="16" spans="1:21" ht="12">
      <c r="A16" s="96">
        <v>2001</v>
      </c>
      <c r="B16" s="136">
        <v>108</v>
      </c>
      <c r="C16" s="19">
        <v>58.589</v>
      </c>
      <c r="D16" s="136">
        <v>705.5452669958604</v>
      </c>
      <c r="E16" s="19" t="s">
        <v>4</v>
      </c>
      <c r="F16" s="19" t="s">
        <v>4</v>
      </c>
      <c r="G16" s="19">
        <v>720</v>
      </c>
      <c r="H16" s="19">
        <v>33.33064209567289</v>
      </c>
      <c r="I16" s="19">
        <v>678.1693430070932</v>
      </c>
      <c r="J16" s="19">
        <v>5.257991808652623</v>
      </c>
      <c r="K16" s="19">
        <v>141.6</v>
      </c>
      <c r="L16" s="19">
        <v>72.3253959138965</v>
      </c>
      <c r="M16" s="19" t="s">
        <v>4</v>
      </c>
      <c r="N16" s="19">
        <v>57</v>
      </c>
      <c r="O16" s="19">
        <v>93.42642302538944</v>
      </c>
      <c r="P16" s="19" t="s">
        <v>4</v>
      </c>
      <c r="Q16" s="9">
        <v>3.803</v>
      </c>
      <c r="R16" s="19" t="s">
        <v>4</v>
      </c>
      <c r="S16" s="19" t="s">
        <v>4</v>
      </c>
      <c r="T16" s="19" t="s">
        <v>4</v>
      </c>
      <c r="U16" s="19" t="s">
        <v>4</v>
      </c>
    </row>
    <row r="19" ht="11.25">
      <c r="A19" s="3" t="s">
        <v>209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R47"/>
  <sheetViews>
    <sheetView workbookViewId="0" topLeftCell="A1">
      <selection activeCell="B14" sqref="B14:Q14"/>
    </sheetView>
  </sheetViews>
  <sheetFormatPr defaultColWidth="9.140625" defaultRowHeight="12.75"/>
  <cols>
    <col min="1" max="1" width="8.710937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205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120"/>
      <c r="B4" s="120" t="s">
        <v>5</v>
      </c>
      <c r="C4" s="120" t="s">
        <v>7</v>
      </c>
      <c r="D4" s="120" t="s">
        <v>8</v>
      </c>
      <c r="E4" s="120" t="s">
        <v>9</v>
      </c>
      <c r="F4" s="120" t="s">
        <v>10</v>
      </c>
      <c r="G4" s="120" t="s">
        <v>11</v>
      </c>
      <c r="H4" s="120" t="s">
        <v>12</v>
      </c>
      <c r="I4" s="120" t="s">
        <v>13</v>
      </c>
      <c r="J4" s="120" t="s">
        <v>14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</row>
    <row r="5" spans="1:18" ht="11.25">
      <c r="A5" s="121">
        <v>1991</v>
      </c>
      <c r="B5" s="6" t="e">
        <f>NA()</f>
        <v>#N/A</v>
      </c>
      <c r="C5" s="6" t="e">
        <f>NA()</f>
        <v>#N/A</v>
      </c>
      <c r="D5" s="6" t="e">
        <f>NA()</f>
        <v>#N/A</v>
      </c>
      <c r="E5" s="6" t="e">
        <f>NA()</f>
        <v>#N/A</v>
      </c>
      <c r="F5" s="6" t="e">
        <f>NA()</f>
        <v>#N/A</v>
      </c>
      <c r="G5" s="6" t="e">
        <f>NA()</f>
        <v>#N/A</v>
      </c>
      <c r="H5" s="6" t="e">
        <f>NA()</f>
        <v>#N/A</v>
      </c>
      <c r="I5" s="6" t="e">
        <f>NA()</f>
        <v>#N/A</v>
      </c>
      <c r="J5" s="6" t="e">
        <f>NA()</f>
        <v>#N/A</v>
      </c>
      <c r="K5" s="6" t="e">
        <f>NA()</f>
        <v>#N/A</v>
      </c>
      <c r="L5" s="6" t="e">
        <f>NA()</f>
        <v>#N/A</v>
      </c>
      <c r="M5" s="6" t="e">
        <f>NA()</f>
        <v>#N/A</v>
      </c>
      <c r="N5" s="6" t="e">
        <f>NA()</f>
        <v>#N/A</v>
      </c>
      <c r="O5" s="6" t="e">
        <f>NA()</f>
        <v>#N/A</v>
      </c>
      <c r="P5" s="6" t="e">
        <f>NA()</f>
        <v>#N/A</v>
      </c>
      <c r="Q5" s="6" t="e">
        <f>NA()</f>
        <v>#N/A</v>
      </c>
      <c r="R5" s="13"/>
    </row>
    <row r="6" spans="1:17" ht="11.25">
      <c r="A6" s="121">
        <v>1992</v>
      </c>
      <c r="B6" s="6" t="e">
        <f>NA()</f>
        <v>#N/A</v>
      </c>
      <c r="C6" s="6" t="e">
        <f>NA()</f>
        <v>#N/A</v>
      </c>
      <c r="D6" s="6" t="e">
        <f>NA()</f>
        <v>#N/A</v>
      </c>
      <c r="E6" s="6" t="e">
        <f>NA()</f>
        <v>#N/A</v>
      </c>
      <c r="F6" s="6" t="e">
        <f>NA()</f>
        <v>#N/A</v>
      </c>
      <c r="G6" s="6" t="e">
        <f>NA()</f>
        <v>#N/A</v>
      </c>
      <c r="H6" s="6" t="e">
        <f>NA()</f>
        <v>#N/A</v>
      </c>
      <c r="I6" s="6" t="e">
        <f>NA()</f>
        <v>#N/A</v>
      </c>
      <c r="J6" s="6" t="e">
        <f>NA()</f>
        <v>#N/A</v>
      </c>
      <c r="K6" s="6" t="e">
        <f>NA()</f>
        <v>#N/A</v>
      </c>
      <c r="L6" s="6" t="e">
        <f>NA()</f>
        <v>#N/A</v>
      </c>
      <c r="M6" s="6" t="e">
        <f>NA()</f>
        <v>#N/A</v>
      </c>
      <c r="N6" s="6" t="e">
        <f>NA()</f>
        <v>#N/A</v>
      </c>
      <c r="O6" s="6" t="e">
        <f>NA()</f>
        <v>#N/A</v>
      </c>
      <c r="P6" s="6" t="e">
        <f>NA()</f>
        <v>#N/A</v>
      </c>
      <c r="Q6" s="6" t="e">
        <f>NA()</f>
        <v>#N/A</v>
      </c>
    </row>
    <row r="7" spans="1:17" ht="11.25">
      <c r="A7" s="121">
        <v>1993</v>
      </c>
      <c r="B7" s="6" t="e">
        <f>NA()</f>
        <v>#N/A</v>
      </c>
      <c r="C7" s="6" t="e">
        <f>NA()</f>
        <v>#N/A</v>
      </c>
      <c r="D7" s="6" t="e">
        <f>NA()</f>
        <v>#N/A</v>
      </c>
      <c r="E7" s="6" t="e">
        <f>NA()</f>
        <v>#N/A</v>
      </c>
      <c r="F7" s="6" t="e">
        <f>NA()</f>
        <v>#N/A</v>
      </c>
      <c r="G7" s="6" t="e">
        <f>NA()</f>
        <v>#N/A</v>
      </c>
      <c r="H7" s="6" t="e">
        <f>NA()</f>
        <v>#N/A</v>
      </c>
      <c r="I7" s="6" t="e">
        <f>NA()</f>
        <v>#N/A</v>
      </c>
      <c r="J7" s="6" t="e">
        <f>NA()</f>
        <v>#N/A</v>
      </c>
      <c r="K7" s="6" t="e">
        <f>NA()</f>
        <v>#N/A</v>
      </c>
      <c r="L7" s="6" t="e">
        <f>NA()</f>
        <v>#N/A</v>
      </c>
      <c r="M7" s="6" t="e">
        <f>NA()</f>
        <v>#N/A</v>
      </c>
      <c r="N7" s="6" t="e">
        <f>NA()</f>
        <v>#N/A</v>
      </c>
      <c r="O7" s="6" t="e">
        <f>NA()</f>
        <v>#N/A</v>
      </c>
      <c r="P7" s="6" t="e">
        <f>NA()</f>
        <v>#N/A</v>
      </c>
      <c r="Q7" s="6" t="e">
        <f>NA()</f>
        <v>#N/A</v>
      </c>
    </row>
    <row r="8" spans="1:17" ht="11.25">
      <c r="A8" s="121">
        <v>1994</v>
      </c>
      <c r="B8" s="28">
        <f>+basedata_pt_mbike!Q28</f>
        <v>127.32000000000001</v>
      </c>
      <c r="C8" s="28">
        <f>+basedata_pt_mbike!B28</f>
        <v>1.34</v>
      </c>
      <c r="D8" s="28">
        <f>+basedata_pt_mbike!C28</f>
        <v>0.4</v>
      </c>
      <c r="E8" s="28">
        <f>+basedata_pt_mbike!D28</f>
        <v>12.6</v>
      </c>
      <c r="F8" s="28">
        <f>+basedata_pt_mbike!E28</f>
        <v>11.9</v>
      </c>
      <c r="G8" s="28">
        <f>+basedata_pt_mbike!F28</f>
        <v>13.7</v>
      </c>
      <c r="H8" s="28">
        <f>+basedata_pt_mbike!G28</f>
        <v>13.2</v>
      </c>
      <c r="I8" s="28">
        <f>+basedata_pt_mbike!H28</f>
        <v>0.34</v>
      </c>
      <c r="J8" s="28">
        <f>+basedata_pt_mbike!I28</f>
        <v>58.7</v>
      </c>
      <c r="K8" s="28">
        <f>+basedata_pt_mbike!J28</f>
        <v>0.06</v>
      </c>
      <c r="L8" s="28">
        <f>+basedata_pt_mbike!K28</f>
        <v>2.9</v>
      </c>
      <c r="M8" s="28">
        <f>+basedata_pt_mbike!L28</f>
        <v>1.53</v>
      </c>
      <c r="N8" s="28">
        <f>+basedata_pt_mbike!M28</f>
        <v>4.8</v>
      </c>
      <c r="O8" s="28">
        <f>+basedata_pt_mbike!N28</f>
        <v>0.9</v>
      </c>
      <c r="P8" s="28">
        <f>+basedata_pt_mbike!O28</f>
        <v>0.6</v>
      </c>
      <c r="Q8" s="28">
        <f>+basedata_pt_mbike!P28</f>
        <v>4.35</v>
      </c>
    </row>
    <row r="9" spans="1:17" ht="11.25">
      <c r="A9" s="121">
        <v>1995</v>
      </c>
      <c r="B9" s="28">
        <f>+basedata_pt_mbike!Q29</f>
        <v>128.84199999999998</v>
      </c>
      <c r="C9" s="28">
        <f>+basedata_pt_mbike!B29</f>
        <v>1.35</v>
      </c>
      <c r="D9" s="28">
        <f>+basedata_pt_mbike!C29</f>
        <v>0.4</v>
      </c>
      <c r="E9" s="28">
        <f>+basedata_pt_mbike!D29</f>
        <v>12.8</v>
      </c>
      <c r="F9" s="28">
        <f>+basedata_pt_mbike!E29</f>
        <v>13.2</v>
      </c>
      <c r="G9" s="28">
        <f>+basedata_pt_mbike!F29</f>
        <v>13.65</v>
      </c>
      <c r="H9" s="28">
        <f>+basedata_pt_mbike!G29</f>
        <v>12.4</v>
      </c>
      <c r="I9" s="28">
        <f>+basedata_pt_mbike!H29</f>
        <v>0.34</v>
      </c>
      <c r="J9" s="28">
        <f>+basedata_pt_mbike!I29</f>
        <v>59.882</v>
      </c>
      <c r="K9" s="28">
        <f>+basedata_pt_mbike!J29</f>
        <v>0.06</v>
      </c>
      <c r="L9" s="28">
        <f>+basedata_pt_mbike!K29</f>
        <v>2.3</v>
      </c>
      <c r="M9" s="28">
        <f>+basedata_pt_mbike!L29</f>
        <v>1.56</v>
      </c>
      <c r="N9" s="28">
        <f>+basedata_pt_mbike!M29</f>
        <v>5.1</v>
      </c>
      <c r="O9" s="28">
        <f>+basedata_pt_mbike!N29</f>
        <v>0.9</v>
      </c>
      <c r="P9" s="28">
        <f>+basedata_pt_mbike!O29</f>
        <v>0.6</v>
      </c>
      <c r="Q9" s="28">
        <f>+basedata_pt_mbike!P29</f>
        <v>4.3</v>
      </c>
    </row>
    <row r="10" spans="1:17" ht="11.25">
      <c r="A10" s="121">
        <v>1996</v>
      </c>
      <c r="B10" s="28">
        <f>+basedata_pt_mbike!Q30</f>
        <v>132.333</v>
      </c>
      <c r="C10" s="28">
        <f>+basedata_pt_mbike!B30</f>
        <v>1.39</v>
      </c>
      <c r="D10" s="28">
        <f>+basedata_pt_mbike!C30</f>
        <v>0.4</v>
      </c>
      <c r="E10" s="28">
        <f>+basedata_pt_mbike!D30</f>
        <v>13.5</v>
      </c>
      <c r="F10" s="28">
        <f>+basedata_pt_mbike!E30</f>
        <v>14.1</v>
      </c>
      <c r="G10" s="28">
        <f>+basedata_pt_mbike!F30</f>
        <v>13.8</v>
      </c>
      <c r="H10" s="28">
        <f>+basedata_pt_mbike!G30</f>
        <v>12.2</v>
      </c>
      <c r="I10" s="28">
        <f>+basedata_pt_mbike!H30</f>
        <v>0.34</v>
      </c>
      <c r="J10" s="28">
        <f>+basedata_pt_mbike!I30</f>
        <v>61.063</v>
      </c>
      <c r="K10" s="28">
        <f>+basedata_pt_mbike!J30</f>
        <v>0.06</v>
      </c>
      <c r="L10" s="28">
        <f>+basedata_pt_mbike!K30</f>
        <v>2.5</v>
      </c>
      <c r="M10" s="28">
        <f>+basedata_pt_mbike!L30</f>
        <v>1.58</v>
      </c>
      <c r="N10" s="28">
        <f>+basedata_pt_mbike!M30</f>
        <v>5.5</v>
      </c>
      <c r="O10" s="28">
        <f>+basedata_pt_mbike!N30</f>
        <v>0.9</v>
      </c>
      <c r="P10" s="28">
        <f>+basedata_pt_mbike!O30</f>
        <v>0.6</v>
      </c>
      <c r="Q10" s="28">
        <f>+basedata_pt_mbike!P30</f>
        <v>4.4</v>
      </c>
    </row>
    <row r="11" spans="1:17" ht="11.25">
      <c r="A11" s="121">
        <v>1997</v>
      </c>
      <c r="B11" s="28">
        <f>+basedata_pt_mbike!Q31</f>
        <v>136.343</v>
      </c>
      <c r="C11" s="28">
        <f>+basedata_pt_mbike!B31</f>
        <v>1.44</v>
      </c>
      <c r="D11" s="28">
        <f>+basedata_pt_mbike!C31</f>
        <v>0.5</v>
      </c>
      <c r="E11" s="28">
        <f>+basedata_pt_mbike!D31</f>
        <v>14.4</v>
      </c>
      <c r="F11" s="28">
        <f>+basedata_pt_mbike!E31</f>
        <v>14.8</v>
      </c>
      <c r="G11" s="28">
        <f>+basedata_pt_mbike!F31</f>
        <v>13.9</v>
      </c>
      <c r="H11" s="28">
        <f>+basedata_pt_mbike!G31</f>
        <v>12.2</v>
      </c>
      <c r="I11" s="28">
        <f>+basedata_pt_mbike!H31</f>
        <v>0.35</v>
      </c>
      <c r="J11" s="28">
        <f>+basedata_pt_mbike!I31</f>
        <v>62.913</v>
      </c>
      <c r="K11" s="28">
        <f>+basedata_pt_mbike!J31</f>
        <v>0.06</v>
      </c>
      <c r="L11" s="28">
        <f>+basedata_pt_mbike!K31</f>
        <v>2.5</v>
      </c>
      <c r="M11" s="28">
        <f>+basedata_pt_mbike!L31</f>
        <v>1.58</v>
      </c>
      <c r="N11" s="28">
        <f>+basedata_pt_mbike!M31</f>
        <v>5.8</v>
      </c>
      <c r="O11" s="28">
        <f>+basedata_pt_mbike!N31</f>
        <v>0.9</v>
      </c>
      <c r="P11" s="28">
        <f>+basedata_pt_mbike!O31</f>
        <v>0.7</v>
      </c>
      <c r="Q11" s="28">
        <f>+basedata_pt_mbike!P31</f>
        <v>4.3</v>
      </c>
    </row>
    <row r="12" spans="1:17" ht="11.25">
      <c r="A12" s="121">
        <v>1998</v>
      </c>
      <c r="B12" s="28">
        <f>+basedata_pt_mbike!Q32</f>
        <v>141.716</v>
      </c>
      <c r="C12" s="28">
        <f>+basedata_pt_mbike!B32</f>
        <v>1.4</v>
      </c>
      <c r="D12" s="28">
        <f>+basedata_pt_mbike!C32</f>
        <v>0.61</v>
      </c>
      <c r="E12" s="28">
        <f>+basedata_pt_mbike!D32</f>
        <v>15.4</v>
      </c>
      <c r="F12" s="28">
        <f>+basedata_pt_mbike!E32</f>
        <v>17.4</v>
      </c>
      <c r="G12" s="28">
        <f>+basedata_pt_mbike!F32</f>
        <v>14</v>
      </c>
      <c r="H12" s="28">
        <f>+basedata_pt_mbike!G32</f>
        <v>12.2</v>
      </c>
      <c r="I12" s="28">
        <f>+basedata_pt_mbike!H32</f>
        <v>0.35</v>
      </c>
      <c r="J12" s="28">
        <f>+basedata_pt_mbike!I32</f>
        <v>63.996</v>
      </c>
      <c r="K12" s="28">
        <f>+basedata_pt_mbike!J32</f>
        <v>0.06</v>
      </c>
      <c r="L12" s="28">
        <f>+basedata_pt_mbike!K32</f>
        <v>2.6</v>
      </c>
      <c r="M12" s="28">
        <f>+basedata_pt_mbike!L32</f>
        <v>1.6</v>
      </c>
      <c r="N12" s="28">
        <f>+basedata_pt_mbike!M32</f>
        <v>6.3</v>
      </c>
      <c r="O12" s="28">
        <f>+basedata_pt_mbike!N32</f>
        <v>0.9</v>
      </c>
      <c r="P12" s="28">
        <f>+basedata_pt_mbike!O32</f>
        <v>0.7</v>
      </c>
      <c r="Q12" s="28">
        <f>+basedata_pt_mbike!P32</f>
        <v>4.2</v>
      </c>
    </row>
    <row r="13" spans="1:17" ht="11.25">
      <c r="A13" s="121">
        <v>1999</v>
      </c>
      <c r="B13" s="28">
        <f>+basedata_pt_mbike!Q33</f>
        <v>147.596</v>
      </c>
      <c r="C13" s="28">
        <f>+basedata_pt_mbike!B33</f>
        <v>1.4</v>
      </c>
      <c r="D13" s="28">
        <f>+basedata_pt_mbike!C33</f>
        <v>0.666</v>
      </c>
      <c r="E13" s="28">
        <f>+basedata_pt_mbike!D33</f>
        <v>16.4</v>
      </c>
      <c r="F13" s="28">
        <f>+basedata_pt_mbike!E33</f>
        <v>19.1</v>
      </c>
      <c r="G13" s="28">
        <f>+basedata_pt_mbike!F33</f>
        <v>14.2</v>
      </c>
      <c r="H13" s="28">
        <f>+basedata_pt_mbike!G33</f>
        <v>12.3</v>
      </c>
      <c r="I13" s="28">
        <f>+basedata_pt_mbike!H33</f>
        <v>0.36</v>
      </c>
      <c r="J13" s="28">
        <f>+basedata_pt_mbike!I33</f>
        <v>65.5</v>
      </c>
      <c r="K13" s="28">
        <f>+basedata_pt_mbike!J33</f>
        <v>0.06</v>
      </c>
      <c r="L13" s="28">
        <f>+basedata_pt_mbike!K33</f>
        <v>2.7</v>
      </c>
      <c r="M13" s="28">
        <f>+basedata_pt_mbike!L33</f>
        <v>1.61</v>
      </c>
      <c r="N13" s="28">
        <f>+basedata_pt_mbike!M33</f>
        <v>6.6</v>
      </c>
      <c r="O13" s="28">
        <f>+basedata_pt_mbike!N33</f>
        <v>0.9</v>
      </c>
      <c r="P13" s="28">
        <f>+basedata_pt_mbike!O33</f>
        <v>0.8</v>
      </c>
      <c r="Q13" s="28">
        <f>+basedata_pt_mbike!P33</f>
        <v>5</v>
      </c>
    </row>
    <row r="14" spans="1:17" ht="11.25">
      <c r="A14" s="121">
        <v>2000</v>
      </c>
      <c r="B14" s="28">
        <f>+basedata_pt_mbike!Q34</f>
        <v>150.16100000000003</v>
      </c>
      <c r="C14" s="28">
        <f>+basedata_pt_mbike!B34</f>
        <v>1.45</v>
      </c>
      <c r="D14" s="28">
        <f>+basedata_pt_mbike!C34</f>
        <v>0.711</v>
      </c>
      <c r="E14" s="28">
        <f>+basedata_pt_mbike!D34</f>
        <v>16.7</v>
      </c>
      <c r="F14" s="28">
        <f>+basedata_pt_mbike!E34</f>
        <v>19.2</v>
      </c>
      <c r="G14" s="28">
        <f>+basedata_pt_mbike!F34</f>
        <v>14.34</v>
      </c>
      <c r="H14" s="28">
        <f>+basedata_pt_mbike!G34</f>
        <v>12.3</v>
      </c>
      <c r="I14" s="28">
        <f>+basedata_pt_mbike!H34</f>
        <v>0.37</v>
      </c>
      <c r="J14" s="28">
        <f>+basedata_pt_mbike!I34</f>
        <v>66.9</v>
      </c>
      <c r="K14" s="28">
        <f>+basedata_pt_mbike!J34</f>
        <v>0.06</v>
      </c>
      <c r="L14" s="28">
        <f>+basedata_pt_mbike!K34</f>
        <v>2.77</v>
      </c>
      <c r="M14" s="28">
        <f>+basedata_pt_mbike!L34</f>
        <v>1.62</v>
      </c>
      <c r="N14" s="28">
        <f>+basedata_pt_mbike!M34</f>
        <v>7.04</v>
      </c>
      <c r="O14" s="28">
        <f>+basedata_pt_mbike!N34</f>
        <v>0.9</v>
      </c>
      <c r="P14" s="28">
        <f>+basedata_pt_mbike!O34</f>
        <v>0.8</v>
      </c>
      <c r="Q14" s="28">
        <f>+basedata_pt_mbike!P34</f>
        <v>5</v>
      </c>
    </row>
    <row r="17" spans="1:17" ht="12.75">
      <c r="A17" s="375" t="s">
        <v>206</v>
      </c>
      <c r="B17" s="376"/>
      <c r="C17" s="37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1.25">
      <c r="A18" s="5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1.25">
      <c r="A19" s="53" t="s">
        <v>369</v>
      </c>
      <c r="B19" s="368">
        <f aca="true" t="shared" si="0" ref="B19:Q19">+B14/B8-1</f>
        <v>0.17939836632108097</v>
      </c>
      <c r="C19" s="368">
        <f t="shared" si="0"/>
        <v>0.08208955223880587</v>
      </c>
      <c r="D19" s="368">
        <f t="shared" si="0"/>
        <v>0.7774999999999999</v>
      </c>
      <c r="E19" s="368">
        <f t="shared" si="0"/>
        <v>0.32539682539682535</v>
      </c>
      <c r="F19" s="368">
        <f t="shared" si="0"/>
        <v>0.6134453781512603</v>
      </c>
      <c r="G19" s="368">
        <f t="shared" si="0"/>
        <v>0.046715328467153316</v>
      </c>
      <c r="H19" s="368">
        <f t="shared" si="0"/>
        <v>-0.06818181818181812</v>
      </c>
      <c r="I19" s="368">
        <f t="shared" si="0"/>
        <v>0.08823529411764697</v>
      </c>
      <c r="J19" s="368">
        <f t="shared" si="0"/>
        <v>0.13969335604770028</v>
      </c>
      <c r="K19" s="368">
        <f t="shared" si="0"/>
        <v>0</v>
      </c>
      <c r="L19" s="368">
        <f t="shared" si="0"/>
        <v>-0.04482758620689653</v>
      </c>
      <c r="M19" s="368">
        <f t="shared" si="0"/>
        <v>0.05882352941176472</v>
      </c>
      <c r="N19" s="368">
        <f t="shared" si="0"/>
        <v>0.4666666666666668</v>
      </c>
      <c r="O19" s="368">
        <f t="shared" si="0"/>
        <v>0</v>
      </c>
      <c r="P19" s="368">
        <f t="shared" si="0"/>
        <v>0.3333333333333335</v>
      </c>
      <c r="Q19" s="368">
        <f t="shared" si="0"/>
        <v>0.149425287356322</v>
      </c>
    </row>
    <row r="20" ht="11.25">
      <c r="A20" s="53"/>
    </row>
    <row r="21" spans="1:17" ht="11.25">
      <c r="A21" s="5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1.25">
      <c r="A22" s="5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1.25">
      <c r="A23" s="5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1.25">
      <c r="A24" s="120"/>
      <c r="B24" s="120" t="s">
        <v>5</v>
      </c>
      <c r="C24" s="120" t="s">
        <v>7</v>
      </c>
      <c r="D24" s="120" t="s">
        <v>8</v>
      </c>
      <c r="E24" s="120" t="s">
        <v>9</v>
      </c>
      <c r="F24" s="120" t="s">
        <v>10</v>
      </c>
      <c r="G24" s="120" t="s">
        <v>11</v>
      </c>
      <c r="H24" s="120" t="s">
        <v>12</v>
      </c>
      <c r="I24" s="120" t="s">
        <v>13</v>
      </c>
      <c r="J24" s="120" t="s">
        <v>14</v>
      </c>
      <c r="K24" s="120" t="s">
        <v>15</v>
      </c>
      <c r="L24" s="120" t="s">
        <v>16</v>
      </c>
      <c r="M24" s="120" t="s">
        <v>17</v>
      </c>
      <c r="N24" s="120" t="s">
        <v>18</v>
      </c>
      <c r="O24" s="120" t="s">
        <v>19</v>
      </c>
      <c r="P24" s="120" t="s">
        <v>20</v>
      </c>
      <c r="Q24" s="120" t="s">
        <v>21</v>
      </c>
    </row>
    <row r="25" ht="11.25">
      <c r="A25" s="121">
        <v>1991</v>
      </c>
    </row>
    <row r="26" ht="11.25">
      <c r="A26" s="121">
        <v>1992</v>
      </c>
    </row>
    <row r="27" ht="11.25">
      <c r="A27" s="121">
        <v>1993</v>
      </c>
    </row>
    <row r="28" spans="1:17" ht="11.25">
      <c r="A28" s="121">
        <v>1994</v>
      </c>
      <c r="B28" s="28">
        <f>+B8/'[6]manip_POP_EU'!B10*1000000</f>
        <v>343.42438727999445</v>
      </c>
      <c r="C28" s="28">
        <f>+C8/'[6]manip_POP_EU'!C10*1000000</f>
        <v>132.46866226422557</v>
      </c>
      <c r="D28" s="28">
        <f>+D8/'[6]manip_POP_EU'!D10*1000000</f>
        <v>76.84918347742557</v>
      </c>
      <c r="E28" s="28">
        <f>+E8/'[6]manip_POP_EU'!E10*1000000</f>
        <v>154.57088179007803</v>
      </c>
      <c r="F28" s="28">
        <f>+F8/'[6]manip_POP_EU'!F10*1000000</f>
        <v>1141.3773259159793</v>
      </c>
      <c r="G28" s="28">
        <f>+G8/'[6]manip_POP_EU'!G10*1000000</f>
        <v>349.99872263239916</v>
      </c>
      <c r="H28" s="28">
        <f>+H8/'[6]manip_POP_EU'!H10*1000000</f>
        <v>228.92343551643046</v>
      </c>
      <c r="I28" s="28">
        <f>+I8/'[6]manip_POP_EU'!I10*1000000</f>
        <v>95.21942476265158</v>
      </c>
      <c r="J28" s="28">
        <f>+J8/'[6]manip_POP_EU'!J10*1000000</f>
        <v>1027.6610644257703</v>
      </c>
      <c r="K28" s="28">
        <f>+K8/'[6]manip_POP_EU'!K10*1000000</f>
        <v>148.58841010401187</v>
      </c>
      <c r="L28" s="28">
        <f>+L8/'[6]manip_POP_EU'!L10*1000000</f>
        <v>188.54271435193644</v>
      </c>
      <c r="M28" s="28">
        <f>+M8/'[6]manip_POP_EU'!M10*1000000</f>
        <v>190.59483027094365</v>
      </c>
      <c r="N28" s="28">
        <f>+N8/'[6]manip_POP_EU'!N10*1000000</f>
        <v>484.75055544334475</v>
      </c>
      <c r="O28" s="28">
        <f>+O8/'[6]manip_POP_EU'!O10*1000000</f>
        <v>176.8520337983887</v>
      </c>
      <c r="P28" s="28">
        <f>+P8/'[6]manip_POP_EU'!P10*1000000</f>
        <v>68.33168198435204</v>
      </c>
      <c r="Q28" s="28">
        <f>+Q8/'[6]manip_POP_EU'!Q10*1000000</f>
        <v>74.49267916773697</v>
      </c>
    </row>
    <row r="29" spans="1:17" ht="11.25">
      <c r="A29" s="121">
        <v>1995</v>
      </c>
      <c r="B29" s="28">
        <f>+B9/'[6]manip_POP_EU'!B11*1000000</f>
        <v>346.6165994060476</v>
      </c>
      <c r="C29" s="28">
        <f>+C9/'[6]manip_POP_EU'!C11*1000000</f>
        <v>133.17812327361693</v>
      </c>
      <c r="D29" s="28">
        <f>+D9/'[6]manip_POP_EU'!D11*1000000</f>
        <v>76.51109410864576</v>
      </c>
      <c r="E29" s="28">
        <f>+E9/'[6]manip_POP_EU'!E11*1000000</f>
        <v>156.78204845545187</v>
      </c>
      <c r="F29" s="28">
        <f>+F9/'[6]manip_POP_EU'!F11*1000000</f>
        <v>1262.1916236374066</v>
      </c>
      <c r="G29" s="28">
        <f>+G9/'[6]manip_POP_EU'!G11*1000000</f>
        <v>348.1254781943382</v>
      </c>
      <c r="H29" s="28">
        <f>+H9/'[6]manip_POP_EU'!H11*1000000</f>
        <v>214.36968397759492</v>
      </c>
      <c r="I29" s="28">
        <f>+I9/'[6]manip_POP_EU'!I11*1000000</f>
        <v>94.39200444197668</v>
      </c>
      <c r="J29" s="28">
        <f>+J9/'[6]manip_POP_EU'!J11*1000000</f>
        <v>1046.8149080483884</v>
      </c>
      <c r="K29" s="28">
        <f>+K9/'[6]manip_POP_EU'!K11*1000000</f>
        <v>146.5201465201465</v>
      </c>
      <c r="L29" s="28">
        <f>+L9/'[6]manip_POP_EU'!L11*1000000</f>
        <v>148.77102199223802</v>
      </c>
      <c r="M29" s="28">
        <f>+M9/'[6]manip_POP_EU'!M11*1000000</f>
        <v>193.86106623586429</v>
      </c>
      <c r="N29" s="28">
        <f>+N9/'[6]manip_POP_EU'!N11*1000000</f>
        <v>513.7503777576306</v>
      </c>
      <c r="O29" s="28">
        <f>+O9/'[6]manip_POP_EU'!O11*1000000</f>
        <v>176.19420516836334</v>
      </c>
      <c r="P29" s="28">
        <f>+P9/'[6]manip_POP_EU'!P11*1000000</f>
        <v>67.94247537085268</v>
      </c>
      <c r="Q29" s="28">
        <f>+Q9/'[6]manip_POP_EU'!Q11*1000000</f>
        <v>73.37132716786677</v>
      </c>
    </row>
    <row r="30" spans="1:17" ht="11.25">
      <c r="A30" s="121">
        <v>1996</v>
      </c>
      <c r="B30" s="28">
        <f>+B10/'[6]manip_POP_EU'!B12*1000000</f>
        <v>354.9632191014111</v>
      </c>
      <c r="C30" s="28">
        <f>+C10/'[6]manip_POP_EU'!C12*1000000</f>
        <v>136.85143250959928</v>
      </c>
      <c r="D30" s="28">
        <f>+D10/'[6]manip_POP_EU'!D12*1000000</f>
        <v>76.01672367920942</v>
      </c>
      <c r="E30" s="28">
        <f>+E10/'[6]manip_POP_EU'!E12*1000000</f>
        <v>164.8110167008497</v>
      </c>
      <c r="F30" s="28">
        <f>+F10/'[6]manip_POP_EU'!F12*1000000</f>
        <v>1346.0620525059664</v>
      </c>
      <c r="G30" s="28">
        <f>+G10/'[6]manip_POP_EU'!G12*1000000</f>
        <v>351.3980805516441</v>
      </c>
      <c r="H30" s="28">
        <f>+H10/'[6]manip_POP_EU'!H12*1000000</f>
        <v>210.25057732740495</v>
      </c>
      <c r="I30" s="28">
        <f>+I10/'[6]manip_POP_EU'!I12*1000000</f>
        <v>93.61233480176212</v>
      </c>
      <c r="J30" s="28">
        <f>+J10/'[6]manip_POP_EU'!J12*1000000</f>
        <v>1064.1861275705821</v>
      </c>
      <c r="K30" s="28">
        <f>+K10/'[6]manip_POP_EU'!K12*1000000</f>
        <v>144.38695704488026</v>
      </c>
      <c r="L30" s="28">
        <f>+L10/'[6]manip_POP_EU'!L12*1000000</f>
        <v>161.11361732293614</v>
      </c>
      <c r="M30" s="28">
        <f>+M10/'[6]manip_POP_EU'!M12*1000000</f>
        <v>196.04461379831474</v>
      </c>
      <c r="N30" s="28">
        <f>+N10/'[6]manip_POP_EU'!N12*1000000</f>
        <v>553.8771399798591</v>
      </c>
      <c r="O30" s="28">
        <f>+O10/'[6]manip_POP_EU'!O12*1000000</f>
        <v>175.609756097561</v>
      </c>
      <c r="P30" s="28">
        <f>+P10/'[6]manip_POP_EU'!P12*1000000</f>
        <v>67.85027705529797</v>
      </c>
      <c r="Q30" s="28">
        <f>+Q10/'[6]manip_POP_EU'!Q12*1000000</f>
        <v>74.82738682357744</v>
      </c>
    </row>
    <row r="31" spans="1:17" ht="11.25">
      <c r="A31" s="121">
        <v>1997</v>
      </c>
      <c r="B31" s="28">
        <f>+B11/'[6]manip_POP_EU'!B13*1000000</f>
        <v>364.747377201966</v>
      </c>
      <c r="C31" s="28">
        <f>+C11/'[6]manip_POP_EU'!C13*1000000</f>
        <v>141.4399371378057</v>
      </c>
      <c r="D31" s="28">
        <f>+D11/'[6]manip_POP_EU'!D13*1000000</f>
        <v>94.6213443043628</v>
      </c>
      <c r="E31" s="28">
        <f>+E11/'[6]manip_POP_EU'!E13*1000000</f>
        <v>175.4578352889571</v>
      </c>
      <c r="F31" s="28">
        <f>+F11/'[6]manip_POP_EU'!F13*1000000</f>
        <v>1409.9266457082977</v>
      </c>
      <c r="G31" s="28">
        <f>+G11/'[6]manip_POP_EU'!G13*1000000</f>
        <v>353.48269460621015</v>
      </c>
      <c r="H31" s="28">
        <f>+H11/'[6]manip_POP_EU'!H13*1000000</f>
        <v>209.59318306761955</v>
      </c>
      <c r="I31" s="28">
        <f>+I11/'[6]manip_POP_EU'!I13*1000000</f>
        <v>95.36784741144415</v>
      </c>
      <c r="J31" s="28">
        <f>+J11/'[6]manip_POP_EU'!J13*1000000</f>
        <v>1093.7016497748727</v>
      </c>
      <c r="K31" s="28">
        <f>+K11/'[6]manip_POP_EU'!K13*1000000</f>
        <v>142.34875444839858</v>
      </c>
      <c r="L31" s="28">
        <f>+L11/'[6]manip_POP_EU'!L13*1000000</f>
        <v>160.18453258153392</v>
      </c>
      <c r="M31" s="28">
        <f>+M11/'[6]manip_POP_EU'!M13*1000000</f>
        <v>195.73399007455237</v>
      </c>
      <c r="N31" s="28">
        <f>+N11/'[6]manip_POP_EU'!N13*1000000</f>
        <v>583.2076420311715</v>
      </c>
      <c r="O31" s="28">
        <f>+O11/'[6]manip_POP_EU'!O13*1000000</f>
        <v>175.1027269331341</v>
      </c>
      <c r="P31" s="28">
        <f>+P11/'[6]manip_POP_EU'!P13*1000000</f>
        <v>79.10105046195012</v>
      </c>
      <c r="Q31" s="28">
        <f>+Q11/'[6]manip_POP_EU'!Q13*1000000</f>
        <v>72.87024013286108</v>
      </c>
    </row>
    <row r="32" spans="1:17" ht="11.25">
      <c r="A32" s="121">
        <v>1998</v>
      </c>
      <c r="B32" s="28">
        <f>+B12/'[6]manip_POP_EU'!B14*1000000</f>
        <v>378.34735868205826</v>
      </c>
      <c r="C32" s="28">
        <f>+C12/'[6]manip_POP_EU'!C14*1000000</f>
        <v>137.2145447417426</v>
      </c>
      <c r="D32" s="28">
        <f>+D12/'[6]manip_POP_EU'!D14*1000000</f>
        <v>115.07262780607432</v>
      </c>
      <c r="E32" s="28">
        <f>+E12/'[6]manip_POP_EU'!E14*1000000</f>
        <v>187.69729545260643</v>
      </c>
      <c r="F32" s="28">
        <f>+F12/'[6]manip_POP_EU'!F14*1000000</f>
        <v>1654.7788873038514</v>
      </c>
      <c r="G32" s="28">
        <f>+G12/'[6]manip_POP_EU'!G14*1000000</f>
        <v>355.5916791547078</v>
      </c>
      <c r="H32" s="28">
        <f>+H12/'[6]manip_POP_EU'!H14*1000000</f>
        <v>208.91126408438643</v>
      </c>
      <c r="I32" s="28">
        <f>+I12/'[6]manip_POP_EU'!I14*1000000</f>
        <v>94.28879310344827</v>
      </c>
      <c r="J32" s="28">
        <f>+J12/'[6]manip_POP_EU'!J14*1000000</f>
        <v>1111.2731819128985</v>
      </c>
      <c r="K32" s="28">
        <f>+K12/'[6]manip_POP_EU'!K14*1000000</f>
        <v>140.64697609001405</v>
      </c>
      <c r="L32" s="28">
        <f>+L12/'[6]manip_POP_EU'!L14*1000000</f>
        <v>165.6261944196713</v>
      </c>
      <c r="M32" s="28">
        <f>+M12/'[6]manip_POP_EU'!M14*1000000</f>
        <v>198.05779574051957</v>
      </c>
      <c r="N32" s="28">
        <f>+N12/'[6]manip_POP_EU'!N14*1000000</f>
        <v>632.0224719101124</v>
      </c>
      <c r="O32" s="28">
        <f>+O12/'[6]manip_POP_EU'!O14*1000000</f>
        <v>174.65554046186688</v>
      </c>
      <c r="P32" s="28">
        <f>+P12/'[6]manip_POP_EU'!P14*1000000</f>
        <v>79.07996113784768</v>
      </c>
      <c r="Q32" s="28">
        <f>+Q12/'[6]manip_POP_EU'!Q14*1000000</f>
        <v>70.88009450679267</v>
      </c>
    </row>
    <row r="33" spans="1:17" ht="11.25">
      <c r="A33" s="121">
        <v>1999</v>
      </c>
      <c r="B33" s="28">
        <f>+B13/'[6]manip_POP_EU'!B15*1000000</f>
        <v>393.1201575293273</v>
      </c>
      <c r="C33" s="28">
        <f>+C13/'[6]manip_POP_EU'!C15*1000000</f>
        <v>136.90592607079992</v>
      </c>
      <c r="D33" s="28">
        <f>+D13/'[6]manip_POP_EU'!D15*1000000</f>
        <v>125.21150592216583</v>
      </c>
      <c r="E33" s="28">
        <f>+E13/'[6]manip_POP_EU'!E15*1000000</f>
        <v>199.7880297732893</v>
      </c>
      <c r="F33" s="28">
        <f>+F13/'[6]manip_POP_EU'!F15*1000000</f>
        <v>1812.488138166635</v>
      </c>
      <c r="G33" s="28">
        <f>+G13/'[6]manip_POP_EU'!G15*1000000</f>
        <v>360.2415140291238</v>
      </c>
      <c r="H33" s="28">
        <f>+H13/'[6]manip_POP_EU'!H15*1000000</f>
        <v>209.8259979529171</v>
      </c>
      <c r="I33" s="28">
        <f>+I13/'[6]manip_POP_EU'!I15*1000000</f>
        <v>95.94882729211088</v>
      </c>
      <c r="J33" s="28">
        <f>+J13/'[6]manip_POP_EU'!J15*1000000</f>
        <v>1136.245359608646</v>
      </c>
      <c r="K33" s="28">
        <f>+K13/'[6]manip_POP_EU'!K15*1000000</f>
        <v>138.88888888888889</v>
      </c>
      <c r="L33" s="28">
        <f>+L13/'[6]manip_POP_EU'!L15*1000000</f>
        <v>170.83201518506803</v>
      </c>
      <c r="M33" s="28">
        <f>+M13/'[6]manip_POP_EU'!M15*1000000</f>
        <v>198.95579103463191</v>
      </c>
      <c r="N33" s="28">
        <f>+N13/'[6]manip_POP_EU'!N15*1000000</f>
        <v>660.7267994794273</v>
      </c>
      <c r="O33" s="28">
        <f>+O13/'[6]manip_POP_EU'!O15*1000000</f>
        <v>174.24975798644726</v>
      </c>
      <c r="P33" s="28">
        <f>+P13/'[6]manip_POP_EU'!P15*1000000</f>
        <v>90.31995845281912</v>
      </c>
      <c r="Q33" s="28">
        <f>+Q13/'[6]manip_POP_EU'!Q15*1000000</f>
        <v>84.03234236793057</v>
      </c>
    </row>
    <row r="34" spans="1:17" ht="11.25">
      <c r="A34" s="121">
        <v>2000</v>
      </c>
      <c r="B34" s="28">
        <f>+B14/'[6]manip_POP_EU'!B16*1000000</f>
        <v>398.9404450388011</v>
      </c>
      <c r="C34" s="28">
        <f>+C14/'[6]manip_POP_EU'!C16*1000000</f>
        <v>141.43581740148264</v>
      </c>
      <c r="D34" s="28">
        <f>+D14/'[6]manip_POP_EU'!D16*1000000</f>
        <v>133.24587706146926</v>
      </c>
      <c r="E34" s="28">
        <f>+E14/'[6]manip_POP_EU'!E16*1000000</f>
        <v>203.28667072428485</v>
      </c>
      <c r="F34" s="28">
        <f>+F14/'[6]manip_POP_EU'!F16*1000000</f>
        <v>1818.1818181818182</v>
      </c>
      <c r="G34" s="28">
        <f>+G14/'[6]manip_POP_EU'!G16*1000000</f>
        <v>363.35993918662103</v>
      </c>
      <c r="H34" s="28">
        <f>+H14/'[6]manip_POP_EU'!H16*1000000</f>
        <v>208.85689057936563</v>
      </c>
      <c r="I34" s="28">
        <f>+I14/'[6]manip_POP_EU'!I16*1000000</f>
        <v>97.52240379546653</v>
      </c>
      <c r="J34" s="28">
        <f>+J14/'[6]manip_POP_EU'!J16*1000000</f>
        <v>1159.6463858554343</v>
      </c>
      <c r="K34" s="28">
        <f>+K14/'[6]manip_POP_EU'!K16*1000000</f>
        <v>136.86131386861314</v>
      </c>
      <c r="L34" s="28">
        <f>+L14/'[6]manip_POP_EU'!L16*1000000</f>
        <v>174.00590489352348</v>
      </c>
      <c r="M34" s="28">
        <f>+M14/'[6]manip_POP_EU'!M16*1000000</f>
        <v>199.74747972932985</v>
      </c>
      <c r="N34" s="28">
        <f>+N14/'[6]manip_POP_EU'!N16*1000000</f>
        <v>703.4372501998402</v>
      </c>
      <c r="O34" s="28">
        <f>+O14/'[6]manip_POP_EU'!O16*1000000</f>
        <v>173.84585667374927</v>
      </c>
      <c r="P34" s="28">
        <f>+P14/'[6]manip_POP_EU'!P16*1000000</f>
        <v>90.20182658698839</v>
      </c>
      <c r="Q34" s="28">
        <f>+Q14/'[6]manip_POP_EU'!Q16*1000000</f>
        <v>83.69755720309547</v>
      </c>
    </row>
    <row r="35" ht="11.25">
      <c r="A35" s="57"/>
    </row>
    <row r="36" ht="11.25">
      <c r="A36" s="57"/>
    </row>
    <row r="37" spans="1:17" ht="11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11.25">
      <c r="A38" s="5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5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5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1.25">
      <c r="A41" s="5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1.25">
      <c r="A42" s="5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1.25">
      <c r="A43" s="5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1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1.25">
      <c r="A45" s="5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1.25">
      <c r="A46" s="5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1.25">
      <c r="A47" s="5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</sheetData>
  <mergeCells count="1">
    <mergeCell ref="A17:C17"/>
  </mergeCells>
  <conditionalFormatting sqref="S11">
    <cfRule type="cellIs" priority="1" dxfId="1" operator="equal" stopIfTrue="1">
      <formula>#N/A</formula>
    </cfRule>
  </conditionalFormatting>
  <conditionalFormatting sqref="C19:Q19 B8:B14 B18:B19 B21:B23 B28:Q34">
    <cfRule type="cellIs" priority="2" dxfId="2" operator="notEqual" stopIfTrue="1">
      <formula>SUM($C8:$Q8)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U40"/>
  <sheetViews>
    <sheetView workbookViewId="0" topLeftCell="A1">
      <selection activeCell="F20" sqref="F20"/>
    </sheetView>
  </sheetViews>
  <sheetFormatPr defaultColWidth="9.140625" defaultRowHeight="12.75"/>
  <cols>
    <col min="1" max="17" width="6.7109375" style="3" customWidth="1"/>
    <col min="18" max="18" width="7.28125" style="3" customWidth="1"/>
    <col min="19" max="16384" width="6.7109375" style="3" customWidth="1"/>
  </cols>
  <sheetData>
    <row r="1" spans="1:3" ht="11.25">
      <c r="A1" s="2" t="s">
        <v>123</v>
      </c>
      <c r="B1" s="2"/>
      <c r="C1" s="2"/>
    </row>
    <row r="2" spans="1:18" ht="11.25">
      <c r="A2" s="57" t="s">
        <v>3</v>
      </c>
      <c r="R2" s="8"/>
    </row>
    <row r="3" spans="1:18" ht="11.25">
      <c r="A3" s="31"/>
      <c r="B3" s="9"/>
      <c r="C3" s="13"/>
      <c r="D3" s="19"/>
      <c r="E3" s="19"/>
      <c r="F3" s="19"/>
      <c r="G3" s="19"/>
      <c r="H3" s="19"/>
      <c r="I3" s="19"/>
      <c r="J3" s="19"/>
      <c r="K3" s="19"/>
      <c r="L3" s="16"/>
      <c r="M3" s="19"/>
      <c r="N3" s="19"/>
      <c r="O3" s="19"/>
      <c r="P3" s="19"/>
      <c r="Q3" s="19"/>
      <c r="R3" s="19"/>
    </row>
    <row r="4" spans="1:21" ht="12">
      <c r="A4" s="92"/>
      <c r="B4" s="93" t="s">
        <v>66</v>
      </c>
      <c r="C4" s="93" t="s">
        <v>67</v>
      </c>
      <c r="D4" s="93" t="s">
        <v>68</v>
      </c>
      <c r="E4" s="93" t="s">
        <v>10</v>
      </c>
      <c r="F4" s="93" t="s">
        <v>69</v>
      </c>
      <c r="G4" s="93" t="s">
        <v>70</v>
      </c>
      <c r="H4" s="93" t="s">
        <v>71</v>
      </c>
      <c r="I4" s="93" t="s">
        <v>72</v>
      </c>
      <c r="J4" s="93" t="s">
        <v>73</v>
      </c>
      <c r="K4" s="93" t="s">
        <v>74</v>
      </c>
      <c r="L4" s="93" t="s">
        <v>75</v>
      </c>
      <c r="M4" s="93" t="s">
        <v>76</v>
      </c>
      <c r="N4" s="93" t="s">
        <v>19</v>
      </c>
      <c r="O4" s="93" t="s">
        <v>20</v>
      </c>
      <c r="P4" s="93" t="s">
        <v>79</v>
      </c>
      <c r="Q4" s="94" t="s">
        <v>112</v>
      </c>
      <c r="R4" s="94" t="s">
        <v>113</v>
      </c>
      <c r="S4" s="95" t="s">
        <v>114</v>
      </c>
      <c r="T4" s="95" t="s">
        <v>115</v>
      </c>
      <c r="U4" s="95" t="s">
        <v>116</v>
      </c>
    </row>
    <row r="5" spans="1:21" ht="12">
      <c r="A5" s="96">
        <v>1991</v>
      </c>
      <c r="B5" s="97" t="s">
        <v>4</v>
      </c>
      <c r="C5" s="97">
        <v>0.363</v>
      </c>
      <c r="D5" s="97">
        <v>13.6</v>
      </c>
      <c r="E5" s="98" t="s">
        <v>4</v>
      </c>
      <c r="F5" s="98" t="s">
        <v>4</v>
      </c>
      <c r="G5" s="98" t="s">
        <v>4</v>
      </c>
      <c r="H5" s="98" t="s">
        <v>4</v>
      </c>
      <c r="I5" s="97">
        <v>57.662</v>
      </c>
      <c r="J5" s="98" t="s">
        <v>4</v>
      </c>
      <c r="K5" s="97">
        <v>1.237</v>
      </c>
      <c r="L5" s="97">
        <v>0.659</v>
      </c>
      <c r="M5" s="98" t="s">
        <v>4</v>
      </c>
      <c r="N5" s="97">
        <v>0.9</v>
      </c>
      <c r="O5" s="98" t="s">
        <v>4</v>
      </c>
      <c r="P5" s="98">
        <v>5.4</v>
      </c>
      <c r="Q5" s="98" t="s">
        <v>4</v>
      </c>
      <c r="R5" s="97">
        <v>0.701</v>
      </c>
      <c r="S5" s="9" t="s">
        <v>4</v>
      </c>
      <c r="T5" s="98">
        <v>18.754504</v>
      </c>
      <c r="U5" s="98">
        <v>0</v>
      </c>
    </row>
    <row r="6" spans="1:21" ht="12">
      <c r="A6" s="96">
        <v>1992</v>
      </c>
      <c r="B6" s="97" t="s">
        <v>4</v>
      </c>
      <c r="C6" s="97">
        <v>0.37</v>
      </c>
      <c r="D6" s="97">
        <v>12.4</v>
      </c>
      <c r="E6" s="98" t="s">
        <v>4</v>
      </c>
      <c r="F6" s="98" t="s">
        <v>4</v>
      </c>
      <c r="G6" s="98" t="s">
        <v>4</v>
      </c>
      <c r="H6" s="98" t="s">
        <v>4</v>
      </c>
      <c r="I6" s="98">
        <v>64.728</v>
      </c>
      <c r="J6" s="98" t="s">
        <v>4</v>
      </c>
      <c r="K6" s="97">
        <v>1.175</v>
      </c>
      <c r="L6" s="97">
        <v>0.691</v>
      </c>
      <c r="M6" s="98" t="s">
        <v>4</v>
      </c>
      <c r="N6" s="97">
        <v>0.9</v>
      </c>
      <c r="O6" s="98">
        <v>1.2</v>
      </c>
      <c r="P6" s="98">
        <v>5</v>
      </c>
      <c r="Q6" s="98" t="s">
        <v>4</v>
      </c>
      <c r="R6" s="97">
        <v>0.704</v>
      </c>
      <c r="S6" s="9" t="s">
        <v>4</v>
      </c>
      <c r="T6" s="98">
        <v>19.221114</v>
      </c>
      <c r="U6" s="98">
        <v>0</v>
      </c>
    </row>
    <row r="7" spans="1:21" ht="12">
      <c r="A7" s="96">
        <v>1993</v>
      </c>
      <c r="B7" s="97" t="s">
        <v>4</v>
      </c>
      <c r="C7" s="97">
        <v>0.381</v>
      </c>
      <c r="D7" s="97">
        <v>11.3</v>
      </c>
      <c r="E7" s="98" t="s">
        <v>4</v>
      </c>
      <c r="F7" s="98" t="s">
        <v>4</v>
      </c>
      <c r="G7" s="98" t="s">
        <v>4</v>
      </c>
      <c r="H7" s="98" t="s">
        <v>4</v>
      </c>
      <c r="I7" s="98">
        <v>66.023</v>
      </c>
      <c r="J7" s="98" t="s">
        <v>4</v>
      </c>
      <c r="K7" s="97">
        <v>1.5</v>
      </c>
      <c r="L7" s="97">
        <v>0.726</v>
      </c>
      <c r="M7" s="98" t="s">
        <v>4</v>
      </c>
      <c r="N7" s="97">
        <v>0.9</v>
      </c>
      <c r="O7" s="98">
        <v>1.2</v>
      </c>
      <c r="P7" s="97">
        <v>5</v>
      </c>
      <c r="Q7" s="98" t="s">
        <v>4</v>
      </c>
      <c r="R7" s="97">
        <v>0.708</v>
      </c>
      <c r="S7" s="9" t="s">
        <v>4</v>
      </c>
      <c r="T7" s="98">
        <v>19.604056</v>
      </c>
      <c r="U7" s="98">
        <v>0</v>
      </c>
    </row>
    <row r="8" spans="1:21" ht="12">
      <c r="A8" s="96">
        <v>1994</v>
      </c>
      <c r="B8" s="97" t="s">
        <v>4</v>
      </c>
      <c r="C8" s="97">
        <v>0.396</v>
      </c>
      <c r="D8" s="97">
        <v>12</v>
      </c>
      <c r="E8" s="98">
        <v>7.9</v>
      </c>
      <c r="F8" s="98">
        <v>13.7</v>
      </c>
      <c r="G8" s="98">
        <v>13.2</v>
      </c>
      <c r="H8" s="98">
        <v>0.26</v>
      </c>
      <c r="I8" s="98">
        <v>58.7</v>
      </c>
      <c r="J8" s="98">
        <v>0.04</v>
      </c>
      <c r="K8" s="97">
        <v>1.9</v>
      </c>
      <c r="L8" s="97">
        <v>0.79</v>
      </c>
      <c r="M8" s="98">
        <v>3.9</v>
      </c>
      <c r="N8" s="97">
        <v>0.9</v>
      </c>
      <c r="O8" s="98">
        <v>1.2</v>
      </c>
      <c r="P8" s="97">
        <v>4</v>
      </c>
      <c r="Q8" s="98" t="s">
        <v>4</v>
      </c>
      <c r="R8" s="98" t="s">
        <v>4</v>
      </c>
      <c r="S8" s="9" t="s">
        <v>4</v>
      </c>
      <c r="T8" s="98">
        <v>19.935509999999997</v>
      </c>
      <c r="U8" s="98">
        <v>0</v>
      </c>
    </row>
    <row r="9" spans="1:21" ht="12">
      <c r="A9" s="96">
        <v>1995</v>
      </c>
      <c r="B9" s="97">
        <v>0.95</v>
      </c>
      <c r="C9" s="97">
        <v>0.416</v>
      </c>
      <c r="D9" s="97">
        <v>12.8</v>
      </c>
      <c r="E9" s="98">
        <v>8.6</v>
      </c>
      <c r="F9" s="98">
        <v>13.65</v>
      </c>
      <c r="G9" s="98">
        <v>12.4</v>
      </c>
      <c r="H9" s="98">
        <v>0.26</v>
      </c>
      <c r="I9" s="97">
        <v>59.882</v>
      </c>
      <c r="J9" s="98">
        <v>0.04</v>
      </c>
      <c r="K9" s="97">
        <v>1.6</v>
      </c>
      <c r="L9" s="97">
        <v>0.865</v>
      </c>
      <c r="M9" s="98">
        <v>3.95</v>
      </c>
      <c r="N9" s="97">
        <v>0.9</v>
      </c>
      <c r="O9" s="98">
        <v>1.2</v>
      </c>
      <c r="P9" s="97">
        <v>4</v>
      </c>
      <c r="Q9" s="98" t="s">
        <v>4</v>
      </c>
      <c r="R9" s="97">
        <v>0.724</v>
      </c>
      <c r="S9" s="9">
        <v>121.513</v>
      </c>
      <c r="T9" s="98">
        <v>18.60004</v>
      </c>
      <c r="U9" s="98">
        <v>0</v>
      </c>
    </row>
    <row r="10" spans="1:21" ht="12">
      <c r="A10" s="96">
        <v>1996</v>
      </c>
      <c r="B10" s="97">
        <v>1.98</v>
      </c>
      <c r="C10" s="97">
        <v>0.445</v>
      </c>
      <c r="D10" s="98">
        <v>13.4</v>
      </c>
      <c r="E10" s="98">
        <v>9.2</v>
      </c>
      <c r="F10" s="98">
        <v>13.8</v>
      </c>
      <c r="G10" s="98">
        <v>12.2</v>
      </c>
      <c r="H10" s="98">
        <v>0.25</v>
      </c>
      <c r="I10" s="97">
        <v>61.063</v>
      </c>
      <c r="J10" s="98">
        <v>0.04</v>
      </c>
      <c r="K10" s="97">
        <v>1.7</v>
      </c>
      <c r="L10" s="97">
        <v>0.906</v>
      </c>
      <c r="M10" s="98">
        <v>4</v>
      </c>
      <c r="N10" s="97">
        <v>0.9</v>
      </c>
      <c r="O10" s="98">
        <v>1.3</v>
      </c>
      <c r="P10" s="97">
        <v>4</v>
      </c>
      <c r="Q10" s="98" t="s">
        <v>4</v>
      </c>
      <c r="R10" s="97">
        <v>0.768</v>
      </c>
      <c r="S10" s="9">
        <v>125.18400000000003</v>
      </c>
      <c r="T10" s="98">
        <v>18.834954000000003</v>
      </c>
      <c r="U10" s="98">
        <v>0</v>
      </c>
    </row>
    <row r="11" spans="1:21" ht="12">
      <c r="A11" s="96">
        <v>1997</v>
      </c>
      <c r="B11" s="97">
        <v>1.02</v>
      </c>
      <c r="C11" s="97">
        <v>0.481</v>
      </c>
      <c r="D11" s="98">
        <v>14.4</v>
      </c>
      <c r="E11" s="98">
        <v>9.8</v>
      </c>
      <c r="F11" s="98">
        <v>13.9</v>
      </c>
      <c r="G11" s="98">
        <v>12.2</v>
      </c>
      <c r="H11" s="98">
        <v>0.25</v>
      </c>
      <c r="I11" s="97">
        <v>62.913</v>
      </c>
      <c r="J11" s="98">
        <v>0.04</v>
      </c>
      <c r="K11" s="97">
        <v>1.7</v>
      </c>
      <c r="L11" s="98">
        <v>1.58</v>
      </c>
      <c r="M11" s="98">
        <v>4</v>
      </c>
      <c r="N11" s="97">
        <v>0.9</v>
      </c>
      <c r="O11" s="98">
        <v>1.3</v>
      </c>
      <c r="P11" s="97">
        <v>4</v>
      </c>
      <c r="Q11" s="98" t="s">
        <v>4</v>
      </c>
      <c r="R11" s="97">
        <v>0.84</v>
      </c>
      <c r="S11" s="9">
        <v>128.484</v>
      </c>
      <c r="T11" s="98">
        <v>19.140664</v>
      </c>
      <c r="U11" s="98">
        <v>0</v>
      </c>
    </row>
    <row r="12" spans="1:21" ht="12">
      <c r="A12" s="96">
        <v>1998</v>
      </c>
      <c r="B12" s="97">
        <v>1.06</v>
      </c>
      <c r="C12" s="97">
        <v>0.517</v>
      </c>
      <c r="D12" s="98">
        <v>15.4</v>
      </c>
      <c r="E12" s="98">
        <v>11.1</v>
      </c>
      <c r="F12" s="98">
        <v>14</v>
      </c>
      <c r="G12" s="98">
        <v>12.2</v>
      </c>
      <c r="H12" s="98">
        <v>0.3</v>
      </c>
      <c r="I12" s="97">
        <v>63.996</v>
      </c>
      <c r="J12" s="98">
        <v>0.04</v>
      </c>
      <c r="K12" s="98">
        <v>2.8</v>
      </c>
      <c r="L12" s="98">
        <v>1.6</v>
      </c>
      <c r="M12" s="98">
        <v>4</v>
      </c>
      <c r="N12" s="97">
        <v>0.9</v>
      </c>
      <c r="O12" s="98">
        <v>1.3</v>
      </c>
      <c r="P12" s="98">
        <v>4.2</v>
      </c>
      <c r="Q12" s="98" t="s">
        <v>4</v>
      </c>
      <c r="R12" s="97">
        <v>0.924</v>
      </c>
      <c r="S12" s="9">
        <v>133.413</v>
      </c>
      <c r="T12" s="98">
        <v>19.523606</v>
      </c>
      <c r="U12" s="98">
        <v>0</v>
      </c>
    </row>
    <row r="13" spans="1:21" ht="12">
      <c r="A13" s="96">
        <v>1999</v>
      </c>
      <c r="B13" s="97" t="s">
        <v>4</v>
      </c>
      <c r="C13" s="97">
        <v>0.563</v>
      </c>
      <c r="D13" s="98">
        <v>16.4</v>
      </c>
      <c r="E13" s="98">
        <v>12.5</v>
      </c>
      <c r="F13" s="98">
        <v>14.2</v>
      </c>
      <c r="G13" s="98">
        <v>12.3</v>
      </c>
      <c r="H13" s="98">
        <v>0.3</v>
      </c>
      <c r="I13" s="97">
        <v>65</v>
      </c>
      <c r="J13" s="98">
        <v>0.06</v>
      </c>
      <c r="K13" s="98">
        <v>3.6</v>
      </c>
      <c r="L13" s="98">
        <v>1.6</v>
      </c>
      <c r="M13" s="98">
        <v>6.6</v>
      </c>
      <c r="N13" s="97">
        <v>0.9</v>
      </c>
      <c r="O13" s="98">
        <v>1.3</v>
      </c>
      <c r="P13" s="98">
        <v>5</v>
      </c>
      <c r="Q13" s="98" t="s">
        <v>4</v>
      </c>
      <c r="R13" s="98" t="s">
        <v>4</v>
      </c>
      <c r="S13" s="9" t="s">
        <v>4</v>
      </c>
      <c r="T13" s="98" t="s">
        <v>4</v>
      </c>
      <c r="U13" s="98">
        <v>0</v>
      </c>
    </row>
    <row r="14" spans="1:21" ht="12">
      <c r="A14" s="96">
        <v>2000</v>
      </c>
      <c r="B14" s="97" t="s">
        <v>4</v>
      </c>
      <c r="C14" s="98" t="s">
        <v>4</v>
      </c>
      <c r="D14" s="98" t="s">
        <v>4</v>
      </c>
      <c r="E14" s="98" t="s">
        <v>4</v>
      </c>
      <c r="F14" s="98" t="s">
        <v>4</v>
      </c>
      <c r="G14" s="98" t="s">
        <v>4</v>
      </c>
      <c r="H14" s="98" t="s">
        <v>4</v>
      </c>
      <c r="I14" s="98" t="s">
        <v>4</v>
      </c>
      <c r="J14" s="98" t="s">
        <v>4</v>
      </c>
      <c r="K14" s="98" t="s">
        <v>4</v>
      </c>
      <c r="L14" s="98" t="s">
        <v>4</v>
      </c>
      <c r="M14" s="98" t="s">
        <v>4</v>
      </c>
      <c r="N14" s="98" t="s">
        <v>4</v>
      </c>
      <c r="O14" s="98" t="s">
        <v>4</v>
      </c>
      <c r="P14" s="98" t="s">
        <v>4</v>
      </c>
      <c r="Q14" s="98" t="s">
        <v>4</v>
      </c>
      <c r="R14" s="98" t="s">
        <v>4</v>
      </c>
      <c r="S14" s="9" t="s">
        <v>4</v>
      </c>
      <c r="T14" s="98" t="s">
        <v>4</v>
      </c>
      <c r="U14" s="98">
        <v>0</v>
      </c>
    </row>
    <row r="15" spans="1:21" ht="12">
      <c r="A15" s="96">
        <v>2001</v>
      </c>
      <c r="B15" s="48" t="s">
        <v>4</v>
      </c>
      <c r="C15" s="48" t="s">
        <v>4</v>
      </c>
      <c r="D15" s="48" t="s">
        <v>4</v>
      </c>
      <c r="E15" s="48" t="s">
        <v>4</v>
      </c>
      <c r="F15" s="48" t="s">
        <v>4</v>
      </c>
      <c r="G15" s="48" t="s">
        <v>4</v>
      </c>
      <c r="H15" s="48" t="s">
        <v>4</v>
      </c>
      <c r="I15" s="48" t="s">
        <v>4</v>
      </c>
      <c r="J15" s="48" t="s">
        <v>4</v>
      </c>
      <c r="K15" s="48" t="s">
        <v>4</v>
      </c>
      <c r="L15" s="48" t="s">
        <v>4</v>
      </c>
      <c r="M15" s="48" t="s">
        <v>4</v>
      </c>
      <c r="N15" s="48" t="s">
        <v>4</v>
      </c>
      <c r="O15" s="48" t="s">
        <v>4</v>
      </c>
      <c r="P15" s="48" t="s">
        <v>4</v>
      </c>
      <c r="Q15" s="48" t="s">
        <v>4</v>
      </c>
      <c r="R15" s="48" t="s">
        <v>4</v>
      </c>
      <c r="S15" s="48" t="s">
        <v>4</v>
      </c>
      <c r="T15" s="48" t="s">
        <v>4</v>
      </c>
      <c r="U15" s="48" t="s">
        <v>4</v>
      </c>
    </row>
    <row r="20" spans="1:18" ht="18">
      <c r="A20" s="231" t="s">
        <v>200</v>
      </c>
      <c r="Q20" s="216"/>
      <c r="R20" s="232" t="s">
        <v>201</v>
      </c>
    </row>
    <row r="21" spans="2:17" ht="18">
      <c r="B21" s="166"/>
      <c r="C21" s="166"/>
      <c r="D21" s="219"/>
      <c r="E21" s="385" t="s">
        <v>202</v>
      </c>
      <c r="F21" s="385"/>
      <c r="G21" s="385"/>
      <c r="H21" s="385"/>
      <c r="I21" s="385"/>
      <c r="J21" s="385"/>
      <c r="K21" s="385"/>
      <c r="L21" s="385"/>
      <c r="M21" s="385"/>
      <c r="N21" s="385"/>
      <c r="O21" s="7"/>
      <c r="P21" s="168"/>
      <c r="Q21" s="169"/>
    </row>
    <row r="22" spans="1:18" ht="12.75">
      <c r="A22" s="170"/>
      <c r="B22" s="170"/>
      <c r="C22" s="170"/>
      <c r="D22" s="170"/>
      <c r="E22" s="386" t="s">
        <v>191</v>
      </c>
      <c r="F22" s="386"/>
      <c r="G22" s="386"/>
      <c r="H22" s="386"/>
      <c r="I22" s="386"/>
      <c r="J22" s="386"/>
      <c r="K22" s="386"/>
      <c r="L22" s="386"/>
      <c r="M22" s="386"/>
      <c r="N22" s="386"/>
      <c r="O22" s="7"/>
      <c r="P22" s="7"/>
      <c r="Q22" s="171"/>
      <c r="R22" s="170"/>
    </row>
    <row r="23" spans="1:19" ht="11.25">
      <c r="A23" s="174"/>
      <c r="B23" s="380" t="s">
        <v>66</v>
      </c>
      <c r="C23" s="380" t="s">
        <v>67</v>
      </c>
      <c r="D23" s="380" t="s">
        <v>68</v>
      </c>
      <c r="E23" s="380" t="s">
        <v>10</v>
      </c>
      <c r="F23" s="380" t="s">
        <v>69</v>
      </c>
      <c r="G23" s="380" t="s">
        <v>70</v>
      </c>
      <c r="H23" s="380" t="s">
        <v>71</v>
      </c>
      <c r="I23" s="380" t="s">
        <v>72</v>
      </c>
      <c r="J23" s="380" t="s">
        <v>73</v>
      </c>
      <c r="K23" s="380" t="s">
        <v>74</v>
      </c>
      <c r="L23" s="380" t="s">
        <v>75</v>
      </c>
      <c r="M23" s="380" t="s">
        <v>76</v>
      </c>
      <c r="N23" s="380" t="s">
        <v>77</v>
      </c>
      <c r="O23" s="380" t="s">
        <v>78</v>
      </c>
      <c r="P23" s="380" t="s">
        <v>79</v>
      </c>
      <c r="Q23" s="382" t="s">
        <v>114</v>
      </c>
      <c r="R23" s="377" t="s">
        <v>192</v>
      </c>
      <c r="S23" s="233"/>
    </row>
    <row r="24" spans="1:19" ht="11.25">
      <c r="A24" s="174"/>
      <c r="B24" s="381"/>
      <c r="C24" s="381"/>
      <c r="D24" s="381"/>
      <c r="E24" s="384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3"/>
      <c r="R24" s="378"/>
      <c r="S24" s="233"/>
    </row>
    <row r="25" spans="1:19" ht="11.25">
      <c r="A25" s="180">
        <v>1970</v>
      </c>
      <c r="B25" s="234">
        <v>1.08</v>
      </c>
      <c r="C25" s="235">
        <v>0.7</v>
      </c>
      <c r="D25" s="236">
        <v>19.8</v>
      </c>
      <c r="E25" s="237">
        <v>1</v>
      </c>
      <c r="F25" s="237">
        <v>9.3</v>
      </c>
      <c r="G25" s="238">
        <v>20</v>
      </c>
      <c r="H25" s="237">
        <v>0.19</v>
      </c>
      <c r="I25" s="235">
        <v>45</v>
      </c>
      <c r="J25" s="239">
        <v>0.02</v>
      </c>
      <c r="K25" s="237">
        <v>5.8</v>
      </c>
      <c r="L25" s="238">
        <v>1.81</v>
      </c>
      <c r="M25" s="235">
        <v>5.1</v>
      </c>
      <c r="N25" s="238">
        <v>0.8</v>
      </c>
      <c r="O25" s="237">
        <v>0.8</v>
      </c>
      <c r="P25" s="238">
        <v>4.2</v>
      </c>
      <c r="Q25" s="240">
        <f aca="true" t="shared" si="0" ref="Q25:Q31">SUM(B25:P25)</f>
        <v>115.59999999999998</v>
      </c>
      <c r="R25" s="187">
        <v>100</v>
      </c>
      <c r="S25" s="241"/>
    </row>
    <row r="26" spans="1:19" ht="11.25">
      <c r="A26" s="180">
        <v>1980</v>
      </c>
      <c r="B26" s="234">
        <v>1.26</v>
      </c>
      <c r="C26" s="235">
        <v>0.6</v>
      </c>
      <c r="D26" s="236">
        <v>19.6</v>
      </c>
      <c r="E26" s="237">
        <v>2.1</v>
      </c>
      <c r="F26" s="237">
        <v>11.55</v>
      </c>
      <c r="G26" s="238">
        <v>17.4</v>
      </c>
      <c r="H26" s="237">
        <v>0.23</v>
      </c>
      <c r="I26" s="235">
        <v>55</v>
      </c>
      <c r="J26" s="239">
        <v>0.03</v>
      </c>
      <c r="K26" s="237">
        <v>2.9</v>
      </c>
      <c r="L26" s="238">
        <v>1.45</v>
      </c>
      <c r="M26" s="235">
        <v>5.2</v>
      </c>
      <c r="N26" s="238">
        <v>0.8</v>
      </c>
      <c r="O26" s="237">
        <v>1</v>
      </c>
      <c r="P26" s="238">
        <v>8.06</v>
      </c>
      <c r="Q26" s="240">
        <f t="shared" si="0"/>
        <v>127.18</v>
      </c>
      <c r="R26" s="187" t="e">
        <f>(Q26/Q$6)*100</f>
        <v>#VALUE!</v>
      </c>
      <c r="S26" s="241"/>
    </row>
    <row r="27" spans="1:19" ht="11.25">
      <c r="A27" s="180">
        <v>1990</v>
      </c>
      <c r="B27" s="234">
        <v>1.21</v>
      </c>
      <c r="C27" s="238">
        <v>0.4</v>
      </c>
      <c r="D27" s="236">
        <v>15.3</v>
      </c>
      <c r="E27" s="237">
        <v>6.6</v>
      </c>
      <c r="F27" s="237">
        <v>12.4</v>
      </c>
      <c r="G27" s="238">
        <v>14.2</v>
      </c>
      <c r="H27" s="237">
        <v>0.25</v>
      </c>
      <c r="I27" s="238">
        <v>60.124</v>
      </c>
      <c r="J27" s="242">
        <v>0.03</v>
      </c>
      <c r="K27" s="237">
        <v>2.1</v>
      </c>
      <c r="L27" s="238">
        <v>1.53</v>
      </c>
      <c r="M27" s="235">
        <v>5.8</v>
      </c>
      <c r="N27" s="238">
        <v>0.8</v>
      </c>
      <c r="O27" s="237">
        <v>0.5</v>
      </c>
      <c r="P27" s="238">
        <v>5.85</v>
      </c>
      <c r="Q27" s="240">
        <f t="shared" si="0"/>
        <v>127.094</v>
      </c>
      <c r="R27" s="187" t="e">
        <f aca="true" t="shared" si="1" ref="R27:R34">(Q27/Q$6)*100</f>
        <v>#VALUE!</v>
      </c>
      <c r="S27" s="241"/>
    </row>
    <row r="28" spans="1:19" ht="11.25">
      <c r="A28" s="180">
        <v>1994</v>
      </c>
      <c r="B28" s="237">
        <v>1.34</v>
      </c>
      <c r="C28" s="238">
        <v>0.4</v>
      </c>
      <c r="D28" s="237">
        <v>12.6</v>
      </c>
      <c r="E28" s="237">
        <v>11.9</v>
      </c>
      <c r="F28" s="237">
        <v>13.7</v>
      </c>
      <c r="G28" s="238">
        <v>13.2</v>
      </c>
      <c r="H28" s="237">
        <v>0.34</v>
      </c>
      <c r="I28" s="237">
        <v>58.7</v>
      </c>
      <c r="J28" s="239">
        <v>0.06</v>
      </c>
      <c r="K28" s="237">
        <v>2.9</v>
      </c>
      <c r="L28" s="238">
        <v>1.53</v>
      </c>
      <c r="M28" s="238">
        <v>4.8</v>
      </c>
      <c r="N28" s="238">
        <v>0.9</v>
      </c>
      <c r="O28" s="237">
        <v>0.6</v>
      </c>
      <c r="P28" s="238">
        <v>4.35</v>
      </c>
      <c r="Q28" s="243">
        <f>SUM(B28:P28)</f>
        <v>127.32000000000001</v>
      </c>
      <c r="R28" s="187" t="e">
        <f t="shared" si="1"/>
        <v>#VALUE!</v>
      </c>
      <c r="S28" s="241"/>
    </row>
    <row r="29" spans="1:19" ht="11.25">
      <c r="A29" s="180">
        <v>1995</v>
      </c>
      <c r="B29" s="244">
        <v>1.35</v>
      </c>
      <c r="C29" s="238">
        <v>0.4</v>
      </c>
      <c r="D29" s="237">
        <v>12.8</v>
      </c>
      <c r="E29" s="237">
        <v>13.2</v>
      </c>
      <c r="F29" s="237">
        <v>13.65</v>
      </c>
      <c r="G29" s="237">
        <v>12.4</v>
      </c>
      <c r="H29" s="237">
        <v>0.34</v>
      </c>
      <c r="I29" s="237">
        <v>59.882</v>
      </c>
      <c r="J29" s="239">
        <v>0.06</v>
      </c>
      <c r="K29" s="237">
        <v>2.3</v>
      </c>
      <c r="L29" s="237">
        <v>1.56</v>
      </c>
      <c r="M29" s="237">
        <v>5.1</v>
      </c>
      <c r="N29" s="237">
        <v>0.9</v>
      </c>
      <c r="O29" s="237">
        <v>0.6</v>
      </c>
      <c r="P29" s="238">
        <v>4.3</v>
      </c>
      <c r="Q29" s="243">
        <f t="shared" si="0"/>
        <v>128.84199999999998</v>
      </c>
      <c r="R29" s="187" t="e">
        <f t="shared" si="1"/>
        <v>#VALUE!</v>
      </c>
      <c r="S29" s="241"/>
    </row>
    <row r="30" spans="1:19" ht="11.25">
      <c r="A30" s="180">
        <v>1996</v>
      </c>
      <c r="B30" s="244">
        <v>1.39</v>
      </c>
      <c r="C30" s="238">
        <v>0.4</v>
      </c>
      <c r="D30" s="237">
        <v>13.5</v>
      </c>
      <c r="E30" s="237">
        <v>14.1</v>
      </c>
      <c r="F30" s="237">
        <v>13.8</v>
      </c>
      <c r="G30" s="238">
        <v>12.2</v>
      </c>
      <c r="H30" s="237">
        <v>0.34</v>
      </c>
      <c r="I30" s="237">
        <v>61.063</v>
      </c>
      <c r="J30" s="239">
        <v>0.06</v>
      </c>
      <c r="K30" s="237">
        <v>2.5</v>
      </c>
      <c r="L30" s="238">
        <v>1.58</v>
      </c>
      <c r="M30" s="238">
        <v>5.5</v>
      </c>
      <c r="N30" s="238">
        <v>0.9</v>
      </c>
      <c r="O30" s="237">
        <v>0.6</v>
      </c>
      <c r="P30" s="238">
        <v>4.4</v>
      </c>
      <c r="Q30" s="243">
        <f t="shared" si="0"/>
        <v>132.333</v>
      </c>
      <c r="R30" s="187" t="e">
        <f t="shared" si="1"/>
        <v>#VALUE!</v>
      </c>
      <c r="S30" s="241"/>
    </row>
    <row r="31" spans="1:19" ht="11.25">
      <c r="A31" s="180">
        <v>1997</v>
      </c>
      <c r="B31" s="237">
        <v>1.44</v>
      </c>
      <c r="C31" s="238">
        <v>0.5</v>
      </c>
      <c r="D31" s="237">
        <v>14.4</v>
      </c>
      <c r="E31" s="237">
        <v>14.8</v>
      </c>
      <c r="F31" s="237">
        <v>13.9</v>
      </c>
      <c r="G31" s="238">
        <v>12.2</v>
      </c>
      <c r="H31" s="237">
        <v>0.35</v>
      </c>
      <c r="I31" s="237">
        <v>62.913</v>
      </c>
      <c r="J31" s="239">
        <v>0.06</v>
      </c>
      <c r="K31" s="237">
        <v>2.5</v>
      </c>
      <c r="L31" s="238">
        <v>1.58</v>
      </c>
      <c r="M31" s="238">
        <v>5.8</v>
      </c>
      <c r="N31" s="238">
        <v>0.9</v>
      </c>
      <c r="O31" s="237">
        <v>0.7</v>
      </c>
      <c r="P31" s="238">
        <v>4.3</v>
      </c>
      <c r="Q31" s="243">
        <f t="shared" si="0"/>
        <v>136.343</v>
      </c>
      <c r="R31" s="187" t="e">
        <f t="shared" si="1"/>
        <v>#VALUE!</v>
      </c>
      <c r="S31" s="241"/>
    </row>
    <row r="32" spans="1:19" ht="11.25">
      <c r="A32" s="180">
        <v>1998</v>
      </c>
      <c r="B32" s="244">
        <v>1.4</v>
      </c>
      <c r="C32" s="238">
        <v>0.61</v>
      </c>
      <c r="D32" s="237">
        <v>15.4</v>
      </c>
      <c r="E32" s="237">
        <v>17.4</v>
      </c>
      <c r="F32" s="235">
        <v>14</v>
      </c>
      <c r="G32" s="238">
        <v>12.2</v>
      </c>
      <c r="H32" s="237">
        <v>0.35</v>
      </c>
      <c r="I32" s="237">
        <v>63.996</v>
      </c>
      <c r="J32" s="239">
        <v>0.06</v>
      </c>
      <c r="K32" s="237">
        <v>2.6</v>
      </c>
      <c r="L32" s="238">
        <v>1.6</v>
      </c>
      <c r="M32" s="235">
        <v>6.3</v>
      </c>
      <c r="N32" s="238">
        <v>0.9</v>
      </c>
      <c r="O32" s="237">
        <v>0.7</v>
      </c>
      <c r="P32" s="245">
        <v>4.2</v>
      </c>
      <c r="Q32" s="240">
        <f>SUM(B32:P32)</f>
        <v>141.716</v>
      </c>
      <c r="R32" s="187" t="e">
        <f t="shared" si="1"/>
        <v>#VALUE!</v>
      </c>
      <c r="S32" s="241"/>
    </row>
    <row r="33" spans="1:19" ht="11.25">
      <c r="A33" s="180">
        <v>1999</v>
      </c>
      <c r="B33" s="246">
        <v>1.4</v>
      </c>
      <c r="C33" s="238">
        <v>0.666</v>
      </c>
      <c r="D33" s="237">
        <v>16.4</v>
      </c>
      <c r="E33" s="237">
        <v>19.1</v>
      </c>
      <c r="F33" s="235">
        <v>14.2</v>
      </c>
      <c r="G33" s="235">
        <v>12.3</v>
      </c>
      <c r="H33" s="235">
        <v>0.36</v>
      </c>
      <c r="I33" s="237">
        <v>65.5</v>
      </c>
      <c r="J33" s="247">
        <v>0.06</v>
      </c>
      <c r="K33" s="237">
        <v>2.7</v>
      </c>
      <c r="L33" s="235">
        <v>1.61</v>
      </c>
      <c r="M33" s="235">
        <v>6.6</v>
      </c>
      <c r="N33" s="238">
        <v>0.9</v>
      </c>
      <c r="O33" s="237">
        <v>0.8</v>
      </c>
      <c r="P33" s="245">
        <v>5</v>
      </c>
      <c r="Q33" s="240">
        <f>SUM(B33:P33)</f>
        <v>147.596</v>
      </c>
      <c r="R33" s="187" t="e">
        <f t="shared" si="1"/>
        <v>#VALUE!</v>
      </c>
      <c r="S33" s="241"/>
    </row>
    <row r="34" spans="1:19" ht="11.25">
      <c r="A34" s="255">
        <v>2000</v>
      </c>
      <c r="B34" s="246">
        <v>1.45</v>
      </c>
      <c r="C34" s="238">
        <v>0.711</v>
      </c>
      <c r="D34" s="237">
        <v>16.7</v>
      </c>
      <c r="E34" s="237">
        <v>19.2</v>
      </c>
      <c r="F34" s="235">
        <v>14.34</v>
      </c>
      <c r="G34" s="235">
        <v>12.3</v>
      </c>
      <c r="H34" s="235">
        <v>0.37</v>
      </c>
      <c r="I34" s="237">
        <v>66.9</v>
      </c>
      <c r="J34" s="247">
        <v>0.06</v>
      </c>
      <c r="K34" s="235">
        <v>2.77</v>
      </c>
      <c r="L34" s="235">
        <v>1.62</v>
      </c>
      <c r="M34" s="235">
        <v>7.04</v>
      </c>
      <c r="N34" s="238">
        <v>0.9</v>
      </c>
      <c r="O34" s="237">
        <v>0.8</v>
      </c>
      <c r="P34" s="256">
        <v>5</v>
      </c>
      <c r="Q34" s="257">
        <f>SUM(B34:P34)</f>
        <v>150.16100000000003</v>
      </c>
      <c r="R34" s="207" t="e">
        <f t="shared" si="1"/>
        <v>#VALUE!</v>
      </c>
      <c r="S34" s="241"/>
    </row>
    <row r="35" spans="1:18" ht="12.75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170"/>
    </row>
    <row r="36" spans="1:18" ht="12.75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170"/>
    </row>
    <row r="37" spans="1:18" ht="12.75">
      <c r="A37" s="258"/>
      <c r="B37" s="225"/>
      <c r="C37" s="227"/>
      <c r="D37" s="227"/>
      <c r="E37" s="227"/>
      <c r="F37" s="225"/>
      <c r="G37" s="225"/>
      <c r="H37" s="225"/>
      <c r="I37" s="227"/>
      <c r="J37" s="225"/>
      <c r="K37" s="225"/>
      <c r="L37" s="225"/>
      <c r="M37" s="225"/>
      <c r="N37" s="227"/>
      <c r="O37" s="227"/>
      <c r="P37" s="227"/>
      <c r="Q37" s="259"/>
      <c r="R37" s="170"/>
    </row>
    <row r="38" spans="1:18" ht="12.7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3"/>
      <c r="R38" s="170"/>
    </row>
    <row r="39" spans="1:19" ht="12.75">
      <c r="A39" s="214" t="s">
        <v>204</v>
      </c>
      <c r="B39" s="7"/>
      <c r="C39" s="7"/>
      <c r="D39" s="7"/>
      <c r="E39" s="7"/>
      <c r="F39" s="7"/>
      <c r="G39" s="7"/>
      <c r="I39" s="7"/>
      <c r="J39" s="7"/>
      <c r="K39" s="7"/>
      <c r="L39" s="7"/>
      <c r="M39" s="7"/>
      <c r="N39" s="7"/>
      <c r="O39" s="7"/>
      <c r="P39" s="7"/>
      <c r="Q39" s="171"/>
      <c r="R39" s="170"/>
      <c r="S39"/>
    </row>
    <row r="40" spans="1:18" ht="11.25">
      <c r="A40" s="254" t="s">
        <v>203</v>
      </c>
      <c r="Q40" s="216"/>
      <c r="R40" s="217"/>
    </row>
  </sheetData>
  <mergeCells count="21">
    <mergeCell ref="I23:I24"/>
    <mergeCell ref="M23:M24"/>
    <mergeCell ref="E21:N21"/>
    <mergeCell ref="E22:N22"/>
    <mergeCell ref="F23:F24"/>
    <mergeCell ref="G23:G24"/>
    <mergeCell ref="H23:H24"/>
    <mergeCell ref="B23:B24"/>
    <mergeCell ref="C23:C24"/>
    <mergeCell ref="D23:D24"/>
    <mergeCell ref="E23:E24"/>
    <mergeCell ref="R23:R24"/>
    <mergeCell ref="A35:Q35"/>
    <mergeCell ref="A36:Q36"/>
    <mergeCell ref="N23:N24"/>
    <mergeCell ref="O23:O24"/>
    <mergeCell ref="P23:P24"/>
    <mergeCell ref="Q23:Q24"/>
    <mergeCell ref="J23:J24"/>
    <mergeCell ref="K23:K24"/>
    <mergeCell ref="L23:L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S50"/>
  <sheetViews>
    <sheetView workbookViewId="0" topLeftCell="A1">
      <selection activeCell="P4" sqref="P4:P15"/>
    </sheetView>
  </sheetViews>
  <sheetFormatPr defaultColWidth="9.140625" defaultRowHeight="12.75"/>
  <cols>
    <col min="1" max="1" width="8.28125" style="140" customWidth="1"/>
    <col min="2" max="18" width="6.8515625" style="140" customWidth="1"/>
    <col min="19" max="16384" width="9.140625" style="140" customWidth="1"/>
  </cols>
  <sheetData>
    <row r="1" spans="1:17" ht="11.25">
      <c r="A1" s="152" t="s">
        <v>368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1.25">
      <c r="A2" s="155" t="s">
        <v>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6"/>
    </row>
    <row r="3" spans="1:17" ht="11.25">
      <c r="A3" s="1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6"/>
    </row>
    <row r="4" spans="1:19" ht="11.25">
      <c r="A4" s="270"/>
      <c r="B4" s="270" t="s">
        <v>5</v>
      </c>
      <c r="C4" s="270" t="s">
        <v>7</v>
      </c>
      <c r="D4" s="270" t="s">
        <v>8</v>
      </c>
      <c r="E4" s="270" t="s">
        <v>9</v>
      </c>
      <c r="F4" s="270" t="s">
        <v>10</v>
      </c>
      <c r="G4" s="270" t="s">
        <v>11</v>
      </c>
      <c r="H4" s="270" t="s">
        <v>12</v>
      </c>
      <c r="I4" s="270" t="s">
        <v>13</v>
      </c>
      <c r="J4" s="270" t="s">
        <v>14</v>
      </c>
      <c r="K4" s="270" t="s">
        <v>15</v>
      </c>
      <c r="L4" s="270" t="s">
        <v>16</v>
      </c>
      <c r="M4" s="270" t="s">
        <v>17</v>
      </c>
      <c r="N4" s="270" t="s">
        <v>18</v>
      </c>
      <c r="O4" s="270" t="s">
        <v>19</v>
      </c>
      <c r="P4" s="270" t="s">
        <v>20</v>
      </c>
      <c r="Q4" s="270" t="s">
        <v>21</v>
      </c>
      <c r="R4" s="366" t="s">
        <v>112</v>
      </c>
      <c r="S4" s="366" t="s">
        <v>113</v>
      </c>
    </row>
    <row r="5" spans="1:19" ht="11.25">
      <c r="A5" s="271">
        <v>1991</v>
      </c>
      <c r="B5" s="273">
        <f>SUM(C5:Q5)</f>
        <v>362.7321975194688</v>
      </c>
      <c r="C5" s="273">
        <v>11.2</v>
      </c>
      <c r="D5" s="137">
        <f>IF('basedata_pt_b+c'!C5=":",NA(),'basedata_pt_b+c'!C5)</f>
        <v>7.549</v>
      </c>
      <c r="E5" s="137">
        <f>IF('basedata_pt_b+c'!D5=":",NA(),'basedata_pt_b+c'!D5)</f>
        <v>81.61760000000001</v>
      </c>
      <c r="F5" s="137">
        <f>IF('basedata_pt_b+c'!E5=":",NA(),'basedata_pt_b+c'!E5)</f>
        <v>5.084</v>
      </c>
      <c r="G5" s="137">
        <f>IF('basedata_pt_b+c'!F5=":",NA(),'basedata_pt_b+c'!F5)</f>
        <v>35.445</v>
      </c>
      <c r="H5" s="137">
        <f>IF('basedata_pt_b+c'!G5=":",NA(),'basedata_pt_b+c'!G5)</f>
        <v>42.9</v>
      </c>
      <c r="I5" s="137">
        <f>IF('basedata_pt_b+c'!H5=":",NA(),'basedata_pt_b+c'!H5)</f>
        <v>4.1</v>
      </c>
      <c r="J5" s="137">
        <f>IF('basedata_pt_b+c'!I5=":",NA(),'basedata_pt_b+c'!I5)</f>
        <v>85.37</v>
      </c>
      <c r="K5" s="137">
        <f>IF('basedata_pt_b+c'!J5=":",NA(),'basedata_pt_b+c'!J5)</f>
        <v>0.40019200965534263</v>
      </c>
      <c r="L5" s="137">
        <f>IF('basedata_pt_b+c'!K5=":",NA(),'basedata_pt_b+c'!K5)</f>
        <v>8.2</v>
      </c>
      <c r="M5" s="137">
        <f>IF('basedata_pt_b+c'!L5=":",NA(),'basedata_pt_b+c'!L5)</f>
        <v>9</v>
      </c>
      <c r="N5" s="137">
        <f>IF('basedata_pt_b+c'!M5=":",NA(),'basedata_pt_b+c'!M5)</f>
        <v>10.7</v>
      </c>
      <c r="O5" s="137">
        <f>IF('basedata_pt_b+c'!N5=":",NA(),'basedata_pt_b+c'!N5)</f>
        <v>8.1</v>
      </c>
      <c r="P5" s="137">
        <f>IF('basedata_pt_b+c'!O5=":",NA(),'basedata_pt_b+c'!O5)</f>
        <v>7.866405509813423</v>
      </c>
      <c r="Q5" s="137">
        <f>IF('basedata_pt_b+c'!P5=":",NA(),'basedata_pt_b+c'!P5)</f>
        <v>45.2</v>
      </c>
      <c r="R5" s="137" t="e">
        <f>IF('basedata_pt_b+c'!Q5=":",NA(),'basedata_pt_b+c'!Q5)</f>
        <v>#N/A</v>
      </c>
      <c r="S5" s="137">
        <f>IF('basedata_pt_b+c'!R5=":",NA(),'basedata_pt_b+c'!R5)</f>
        <v>3.935</v>
      </c>
    </row>
    <row r="6" spans="1:19" ht="11.25">
      <c r="A6" s="271">
        <v>1992</v>
      </c>
      <c r="B6" s="273">
        <f>SUM(C6:Q6)</f>
        <v>364.2882467175676</v>
      </c>
      <c r="C6" s="273">
        <v>11.56</v>
      </c>
      <c r="D6" s="137">
        <f>IF('basedata_pt_b+c'!C6=":",NA(),'basedata_pt_b+c'!C6)</f>
        <v>7.598</v>
      </c>
      <c r="E6" s="137">
        <f>IF('basedata_pt_b+c'!D6=":",NA(),'basedata_pt_b+c'!D6)</f>
        <v>80.423</v>
      </c>
      <c r="F6" s="137">
        <f>IF('basedata_pt_b+c'!E6=":",NA(),'basedata_pt_b+c'!E6)</f>
        <v>5.161</v>
      </c>
      <c r="G6" s="137">
        <f>IF('basedata_pt_b+c'!F6=":",NA(),'basedata_pt_b+c'!F6)</f>
        <v>35.522</v>
      </c>
      <c r="H6" s="137">
        <f>IF('basedata_pt_b+c'!G6=":",NA(),'basedata_pt_b+c'!G6)</f>
        <v>41.8</v>
      </c>
      <c r="I6" s="137">
        <f>IF('basedata_pt_b+c'!H6=":",NA(),'basedata_pt_b+c'!H6)</f>
        <v>4.3</v>
      </c>
      <c r="J6" s="137">
        <f>IF('basedata_pt_b+c'!I6=":",NA(),'basedata_pt_b+c'!I6)</f>
        <v>84.771</v>
      </c>
      <c r="K6" s="137">
        <f>IF('basedata_pt_b+c'!J6=":",NA(),'basedata_pt_b+c'!J6)</f>
        <v>0.396919067930273</v>
      </c>
      <c r="L6" s="137">
        <f>IF('basedata_pt_b+c'!K6=":",NA(),'basedata_pt_b+c'!K6)</f>
        <v>8.8</v>
      </c>
      <c r="M6" s="137">
        <f>IF('basedata_pt_b+c'!L6=":",NA(),'basedata_pt_b+c'!L6)</f>
        <v>9.4</v>
      </c>
      <c r="N6" s="137">
        <f>IF('basedata_pt_b+c'!M6=":",NA(),'basedata_pt_b+c'!M6)</f>
        <v>14.173</v>
      </c>
      <c r="O6" s="137">
        <f>IF('basedata_pt_b+c'!N6=":",NA(),'basedata_pt_b+c'!N6)</f>
        <v>8</v>
      </c>
      <c r="P6" s="137">
        <f>IF('basedata_pt_b+c'!O6=":",NA(),'basedata_pt_b+c'!O6)</f>
        <v>8.183327649637278</v>
      </c>
      <c r="Q6" s="137">
        <f>IF('basedata_pt_b+c'!P6=":",NA(),'basedata_pt_b+c'!P6)</f>
        <v>44.2</v>
      </c>
      <c r="R6" s="137" t="e">
        <f>IF('basedata_pt_b+c'!Q6=":",NA(),'basedata_pt_b+c'!Q6)</f>
        <v>#N/A</v>
      </c>
      <c r="S6" s="137">
        <f>IF('basedata_pt_b+c'!R6=":",NA(),'basedata_pt_b+c'!R6)</f>
        <v>3.95</v>
      </c>
    </row>
    <row r="7" spans="1:19" ht="11.25">
      <c r="A7" s="271">
        <v>1993</v>
      </c>
      <c r="B7" s="273">
        <f>SUM(C7:Q7)</f>
        <v>360.59468302745324</v>
      </c>
      <c r="C7" s="273">
        <v>11.6</v>
      </c>
      <c r="D7" s="137">
        <f>IF('basedata_pt_b+c'!C7=":",NA(),'basedata_pt_b+c'!C7)</f>
        <v>7.833</v>
      </c>
      <c r="E7" s="137">
        <f>IF('basedata_pt_b+c'!D7=":",NA(),'basedata_pt_b+c'!D7)</f>
        <v>79.6336</v>
      </c>
      <c r="F7" s="137">
        <f>IF('basedata_pt_b+c'!E7=":",NA(),'basedata_pt_b+c'!E7)</f>
        <v>5.158</v>
      </c>
      <c r="G7" s="137">
        <f>IF('basedata_pt_b+c'!F7=":",NA(),'basedata_pt_b+c'!F7)</f>
        <v>37.09</v>
      </c>
      <c r="H7" s="137">
        <f>IF('basedata_pt_b+c'!G7=":",NA(),'basedata_pt_b+c'!G7)</f>
        <v>42</v>
      </c>
      <c r="I7" s="137">
        <f>IF('basedata_pt_b+c'!H7=":",NA(),'basedata_pt_b+c'!H7)</f>
        <v>4.49</v>
      </c>
      <c r="J7" s="137">
        <f>IF('basedata_pt_b+c'!I7=":",NA(),'basedata_pt_b+c'!I7)</f>
        <v>81.106</v>
      </c>
      <c r="K7" s="137">
        <f>IF('basedata_pt_b+c'!J7=":",NA(),'basedata_pt_b+c'!J7)</f>
        <v>0.4</v>
      </c>
      <c r="L7" s="137">
        <f>IF('basedata_pt_b+c'!K7=":",NA(),'basedata_pt_b+c'!K7)</f>
        <v>8.7</v>
      </c>
      <c r="M7" s="137">
        <f>IF('basedata_pt_b+c'!L7=":",NA(),'basedata_pt_b+c'!L7)</f>
        <v>10.3</v>
      </c>
      <c r="N7" s="137">
        <f>IF('basedata_pt_b+c'!M7=":",NA(),'basedata_pt_b+c'!M7)</f>
        <v>12.15</v>
      </c>
      <c r="O7" s="137">
        <f>IF('basedata_pt_b+c'!N7=":",NA(),'basedata_pt_b+c'!N7)</f>
        <v>8</v>
      </c>
      <c r="P7" s="137">
        <f>IF('basedata_pt_b+c'!O7=":",NA(),'basedata_pt_b+c'!O7)</f>
        <v>7.934083027453331</v>
      </c>
      <c r="Q7" s="137">
        <f>IF('basedata_pt_b+c'!P7=":",NA(),'basedata_pt_b+c'!P7)</f>
        <v>44.2</v>
      </c>
      <c r="R7" s="137" t="e">
        <f>IF('basedata_pt_b+c'!Q7=":",NA(),'basedata_pt_b+c'!Q7)</f>
        <v>#N/A</v>
      </c>
      <c r="S7" s="137">
        <f>IF('basedata_pt_b+c'!R7=":",NA(),'basedata_pt_b+c'!R7)</f>
        <v>3.93</v>
      </c>
    </row>
    <row r="8" spans="1:19" ht="11.25">
      <c r="A8" s="271">
        <v>1994</v>
      </c>
      <c r="B8" s="273">
        <f>SUM(C8:Q8)</f>
        <v>366.0158490469121</v>
      </c>
      <c r="C8" s="273">
        <v>12</v>
      </c>
      <c r="D8" s="137">
        <f>IF('basedata_pt_b+c'!C8=":",NA(),'basedata_pt_b+c'!C8)</f>
        <v>8.018</v>
      </c>
      <c r="E8" s="137">
        <f>IF('basedata_pt_b+c'!D8=":",NA(),'basedata_pt_b+c'!D8)</f>
        <v>77.4887</v>
      </c>
      <c r="F8" s="137">
        <f>IF('basedata_pt_b+c'!E8=":",NA(),'basedata_pt_b+c'!E8)</f>
        <v>5.566</v>
      </c>
      <c r="G8" s="137">
        <f>IF('basedata_pt_b+c'!F8=":",NA(),'basedata_pt_b+c'!F8)</f>
        <v>38.132</v>
      </c>
      <c r="H8" s="137">
        <f>IF('basedata_pt_b+c'!G8=":",NA(),'basedata_pt_b+c'!G8)</f>
        <v>42.7</v>
      </c>
      <c r="I8" s="137">
        <f>IF('basedata_pt_b+c'!H8=":",NA(),'basedata_pt_b+c'!H8)</f>
        <v>5</v>
      </c>
      <c r="J8" s="137">
        <f>IF('basedata_pt_b+c'!I8=":",NA(),'basedata_pt_b+c'!I8)</f>
        <v>85.923</v>
      </c>
      <c r="K8" s="137">
        <f>IF('basedata_pt_b+c'!J8=":",NA(),'basedata_pt_b+c'!J8)</f>
        <v>0.4</v>
      </c>
      <c r="L8" s="137">
        <f>IF('basedata_pt_b+c'!K8=":",NA(),'basedata_pt_b+c'!K8)</f>
        <v>8.1</v>
      </c>
      <c r="M8" s="137">
        <f>IF('basedata_pt_b+c'!L8=":",NA(),'basedata_pt_b+c'!L8)</f>
        <v>10.8</v>
      </c>
      <c r="N8" s="137">
        <f>IF('basedata_pt_b+c'!M8=":",NA(),'basedata_pt_b+c'!M8)</f>
        <v>11.711</v>
      </c>
      <c r="O8" s="137">
        <f>IF('basedata_pt_b+c'!N8=":",NA(),'basedata_pt_b+c'!N8)</f>
        <v>8</v>
      </c>
      <c r="P8" s="137">
        <f>IF('basedata_pt_b+c'!O8=":",NA(),'basedata_pt_b+c'!O8)</f>
        <v>7.8771490469120735</v>
      </c>
      <c r="Q8" s="137">
        <f>IF('basedata_pt_b+c'!P8=":",NA(),'basedata_pt_b+c'!P8)</f>
        <v>44.3</v>
      </c>
      <c r="R8" s="137" t="e">
        <f>IF('basedata_pt_b+c'!Q8=":",NA(),'basedata_pt_b+c'!Q8)</f>
        <v>#N/A</v>
      </c>
      <c r="S8" s="137">
        <f>IF('basedata_pt_b+c'!R8=":",NA(),'basedata_pt_b+c'!R8)</f>
        <v>3.96</v>
      </c>
    </row>
    <row r="9" spans="1:19" ht="11.25">
      <c r="A9" s="271">
        <v>1995</v>
      </c>
      <c r="B9" s="137">
        <f>IF('basedata_pt_b+c'!S9=":",NA(),'basedata_pt_b+c'!S9)</f>
        <v>368.9883071571881</v>
      </c>
      <c r="C9" s="137">
        <f>IF('basedata_pt_b+c'!B9=":",NA(),'basedata_pt_b+c'!B9)</f>
        <v>13.07</v>
      </c>
      <c r="D9" s="137">
        <f>IF('basedata_pt_b+c'!C9=":",NA(),'basedata_pt_b+c'!C9)</f>
        <v>8.749</v>
      </c>
      <c r="E9" s="137">
        <f>IF('basedata_pt_b+c'!D9=":",NA(),'basedata_pt_b+c'!D9)</f>
        <v>76.95039999999999</v>
      </c>
      <c r="F9" s="137">
        <f>IF('basedata_pt_b+c'!E9=":",NA(),'basedata_pt_b+c'!E9)</f>
        <v>5.671</v>
      </c>
      <c r="G9" s="137">
        <f>IF('basedata_pt_b+c'!F9=":",NA(),'basedata_pt_b+c'!F9)</f>
        <v>39.648</v>
      </c>
      <c r="H9" s="137">
        <f>IF('basedata_pt_b+c'!G9=":",NA(),'basedata_pt_b+c'!G9)</f>
        <v>41.6</v>
      </c>
      <c r="I9" s="137">
        <f>IF('basedata_pt_b+c'!H9=":",NA(),'basedata_pt_b+c'!H9)</f>
        <v>5.15</v>
      </c>
      <c r="J9" s="137">
        <f>IF('basedata_pt_b+c'!I9=":",NA(),'basedata_pt_b+c'!I9)</f>
        <v>87.147</v>
      </c>
      <c r="K9" s="137">
        <f>IF('basedata_pt_b+c'!J9=":",NA(),'basedata_pt_b+c'!J9)</f>
        <v>0.9</v>
      </c>
      <c r="L9" s="137">
        <f>IF('basedata_pt_b+c'!K9=":",NA(),'basedata_pt_b+c'!K9)</f>
        <v>8</v>
      </c>
      <c r="M9" s="137">
        <f>IF('basedata_pt_b+c'!L9=":",NA(),'basedata_pt_b+c'!L9)</f>
        <v>10.5</v>
      </c>
      <c r="N9" s="137">
        <f>IF('basedata_pt_b+c'!M9=":",NA(),'basedata_pt_b+c'!M9)</f>
        <v>11.246</v>
      </c>
      <c r="O9" s="137">
        <f>IF('basedata_pt_b+c'!N9=":",NA(),'basedata_pt_b+c'!N9)</f>
        <v>8</v>
      </c>
      <c r="P9" s="137">
        <f>IF('basedata_pt_b+c'!O9=":",NA(),'basedata_pt_b+c'!O9)</f>
        <v>8.056907157188123</v>
      </c>
      <c r="Q9" s="137">
        <f>IF('basedata_pt_b+c'!P9=":",NA(),'basedata_pt_b+c'!P9)</f>
        <v>44.3</v>
      </c>
      <c r="R9" s="137">
        <f>IF('basedata_pt_b+c'!Q9=":",NA(),'basedata_pt_b+c'!Q9)</f>
        <v>0.389</v>
      </c>
      <c r="S9" s="137">
        <f>IF('basedata_pt_b+c'!R9=":",NA(),'basedata_pt_b+c'!R9)</f>
        <v>3.752</v>
      </c>
    </row>
    <row r="10" spans="1:19" ht="11.25">
      <c r="A10" s="271">
        <v>1996</v>
      </c>
      <c r="B10" s="137">
        <f>IF('basedata_pt_b+c'!S10=":",NA(),'basedata_pt_b+c'!S10)</f>
        <v>371.9007865850179</v>
      </c>
      <c r="C10" s="137">
        <f>IF('basedata_pt_b+c'!B10=":",NA(),'basedata_pt_b+c'!B10)</f>
        <v>13.13</v>
      </c>
      <c r="D10" s="137">
        <f>IF('basedata_pt_b+c'!C10=":",NA(),'basedata_pt_b+c'!C10)</f>
        <v>9.341</v>
      </c>
      <c r="E10" s="137">
        <f>IF('basedata_pt_b+c'!D10=":",NA(),'basedata_pt_b+c'!D10)</f>
        <v>76.6544</v>
      </c>
      <c r="F10" s="137">
        <f>IF('basedata_pt_b+c'!E10=":",NA(),'basedata_pt_b+c'!E10)</f>
        <v>5.716</v>
      </c>
      <c r="G10" s="137">
        <f>IF('basedata_pt_b+c'!F10=":",NA(),'basedata_pt_b+c'!F10)</f>
        <v>37.716</v>
      </c>
      <c r="H10" s="137">
        <f>IF('basedata_pt_b+c'!G10=":",NA(),'basedata_pt_b+c'!G10)</f>
        <v>42.4</v>
      </c>
      <c r="I10" s="137">
        <f>IF('basedata_pt_b+c'!H10=":",NA(),'basedata_pt_b+c'!H10)</f>
        <v>5.3</v>
      </c>
      <c r="J10" s="137">
        <f>IF('basedata_pt_b+c'!I10=":",NA(),'basedata_pt_b+c'!I10)</f>
        <v>88.736</v>
      </c>
      <c r="K10" s="137">
        <f>IF('basedata_pt_b+c'!J10=":",NA(),'basedata_pt_b+c'!J10)</f>
        <v>0.9</v>
      </c>
      <c r="L10" s="137">
        <f>IF('basedata_pt_b+c'!K10=":",NA(),'basedata_pt_b+c'!K10)</f>
        <v>7.9</v>
      </c>
      <c r="M10" s="137">
        <f>IF('basedata_pt_b+c'!L10=":",NA(),'basedata_pt_b+c'!L10)</f>
        <v>12.5</v>
      </c>
      <c r="N10" s="137">
        <f>IF('basedata_pt_b+c'!M10=":",NA(),'basedata_pt_b+c'!M10)</f>
        <v>11.142</v>
      </c>
      <c r="O10" s="137">
        <f>IF('basedata_pt_b+c'!N10=":",NA(),'basedata_pt_b+c'!N10)</f>
        <v>8</v>
      </c>
      <c r="P10" s="137">
        <f>IF('basedata_pt_b+c'!O10=":",NA(),'basedata_pt_b+c'!O10)</f>
        <v>8.26538658501793</v>
      </c>
      <c r="Q10" s="137">
        <f>IF('basedata_pt_b+c'!P10=":",NA(),'basedata_pt_b+c'!P10)</f>
        <v>44.2</v>
      </c>
      <c r="R10" s="137">
        <f>IF('basedata_pt_b+c'!Q10=":",NA(),'basedata_pt_b+c'!Q10)</f>
        <v>0.408</v>
      </c>
      <c r="S10" s="137">
        <f>IF('basedata_pt_b+c'!R10=":",NA(),'basedata_pt_b+c'!R10)</f>
        <v>4.117</v>
      </c>
    </row>
    <row r="11" spans="1:19" ht="11.25">
      <c r="A11" s="271">
        <v>1997</v>
      </c>
      <c r="B11" s="137">
        <f>IF('basedata_pt_b+c'!S11=":",NA(),'basedata_pt_b+c'!S11)</f>
        <v>378.6745851977067</v>
      </c>
      <c r="C11" s="137">
        <f>IF('basedata_pt_b+c'!B11=":",NA(),'basedata_pt_b+c'!B11)</f>
        <v>13.28</v>
      </c>
      <c r="D11" s="137">
        <f>IF('basedata_pt_b+c'!C11=":",NA(),'basedata_pt_b+c'!C11)</f>
        <v>9.185</v>
      </c>
      <c r="E11" s="137">
        <f>IF('basedata_pt_b+c'!D11=":",NA(),'basedata_pt_b+c'!D11)</f>
        <v>76.2078</v>
      </c>
      <c r="F11" s="137">
        <f>IF('basedata_pt_b+c'!E11=":",NA(),'basedata_pt_b+c'!E11)</f>
        <v>5.825</v>
      </c>
      <c r="G11" s="137">
        <f>IF('basedata_pt_b+c'!F11=":",NA(),'basedata_pt_b+c'!F11)</f>
        <v>43.974</v>
      </c>
      <c r="H11" s="137">
        <f>IF('basedata_pt_b+c'!G11=":",NA(),'basedata_pt_b+c'!G11)</f>
        <v>42</v>
      </c>
      <c r="I11" s="137">
        <f>IF('basedata_pt_b+c'!H11=":",NA(),'basedata_pt_b+c'!H11)</f>
        <v>5.5</v>
      </c>
      <c r="J11" s="137">
        <f>IF('basedata_pt_b+c'!I11=":",NA(),'basedata_pt_b+c'!I11)</f>
        <v>90.003</v>
      </c>
      <c r="K11" s="137">
        <f>IF('basedata_pt_b+c'!J11=":",NA(),'basedata_pt_b+c'!J11)</f>
        <v>0.9</v>
      </c>
      <c r="L11" s="137">
        <f>IF('basedata_pt_b+c'!K11=":",NA(),'basedata_pt_b+c'!K11)</f>
        <v>8</v>
      </c>
      <c r="M11" s="137">
        <f>IF('basedata_pt_b+c'!L11=":",NA(),'basedata_pt_b+c'!L11)</f>
        <v>12.7</v>
      </c>
      <c r="N11" s="137">
        <f>IF('basedata_pt_b+c'!M11=":",NA(),'basedata_pt_b+c'!M11)</f>
        <v>10.442</v>
      </c>
      <c r="O11" s="137">
        <f>IF('basedata_pt_b+c'!N11=":",NA(),'basedata_pt_b+c'!N11)</f>
        <v>8</v>
      </c>
      <c r="P11" s="137">
        <f>IF('basedata_pt_b+c'!O11=":",NA(),'basedata_pt_b+c'!O11)</f>
        <v>8.457785197706704</v>
      </c>
      <c r="Q11" s="137">
        <f>IF('basedata_pt_b+c'!P11=":",NA(),'basedata_pt_b+c'!P11)</f>
        <v>44.2</v>
      </c>
      <c r="R11" s="137">
        <f>IF('basedata_pt_b+c'!Q11=":",NA(),'basedata_pt_b+c'!Q11)</f>
        <v>0.433</v>
      </c>
      <c r="S11" s="137">
        <f>IF('basedata_pt_b+c'!R11=":",NA(),'basedata_pt_b+c'!R11)</f>
        <v>4.248</v>
      </c>
    </row>
    <row r="12" spans="1:19" ht="11.25">
      <c r="A12" s="271">
        <v>1998</v>
      </c>
      <c r="B12" s="137">
        <f>IF('basedata_pt_b+c'!S12=":",NA(),'basedata_pt_b+c'!S12)</f>
        <v>380.75020614256334</v>
      </c>
      <c r="C12" s="137">
        <f>IF('basedata_pt_b+c'!B12=":",NA(),'basedata_pt_b+c'!B12)</f>
        <v>13.63</v>
      </c>
      <c r="D12" s="137">
        <f>IF('basedata_pt_b+c'!C12=":",NA(),'basedata_pt_b+c'!C12)</f>
        <v>9.105</v>
      </c>
      <c r="E12" s="137">
        <f>IF('basedata_pt_b+c'!D12=":",NA(),'basedata_pt_b+c'!D12)</f>
        <v>75.702</v>
      </c>
      <c r="F12" s="137">
        <f>IF('basedata_pt_b+c'!E12=":",NA(),'basedata_pt_b+c'!E12)</f>
        <v>5.889</v>
      </c>
      <c r="G12" s="137">
        <f>IF('basedata_pt_b+c'!F12=":",NA(),'basedata_pt_b+c'!F12)</f>
        <v>43.003</v>
      </c>
      <c r="H12" s="137">
        <f>IF('basedata_pt_b+c'!G12=":",NA(),'basedata_pt_b+c'!G12)</f>
        <v>42.7</v>
      </c>
      <c r="I12" s="137">
        <f>IF('basedata_pt_b+c'!H12=":",NA(),'basedata_pt_b+c'!H12)</f>
        <v>5.7</v>
      </c>
      <c r="J12" s="137">
        <f>IF('basedata_pt_b+c'!I12=":",NA(),'basedata_pt_b+c'!I12)</f>
        <v>90.613</v>
      </c>
      <c r="K12" s="137">
        <f>IF('basedata_pt_b+c'!J12=":",NA(),'basedata_pt_b+c'!J12)</f>
        <v>0.9</v>
      </c>
      <c r="L12" s="137">
        <f>IF('basedata_pt_b+c'!K12=":",NA(),'basedata_pt_b+c'!K12)</f>
        <v>7.8</v>
      </c>
      <c r="M12" s="137">
        <f>IF('basedata_pt_b+c'!L12=":",NA(),'basedata_pt_b+c'!L12)</f>
        <v>12.9</v>
      </c>
      <c r="N12" s="137">
        <f>IF('basedata_pt_b+c'!M12=":",NA(),'basedata_pt_b+c'!M12)</f>
        <v>11.409</v>
      </c>
      <c r="O12" s="137">
        <f>IF('basedata_pt_b+c'!N12=":",NA(),'basedata_pt_b+c'!N12)</f>
        <v>7.8</v>
      </c>
      <c r="P12" s="137">
        <f>IF('basedata_pt_b+c'!O12=":",NA(),'basedata_pt_b+c'!O12)</f>
        <v>8.599206142563393</v>
      </c>
      <c r="Q12" s="137">
        <f>IF('basedata_pt_b+c'!P12=":",NA(),'basedata_pt_b+c'!P12)</f>
        <v>45</v>
      </c>
      <c r="R12" s="137">
        <f>IF('basedata_pt_b+c'!Q12=":",NA(),'basedata_pt_b+c'!Q12)</f>
        <v>0.458</v>
      </c>
      <c r="S12" s="137">
        <f>IF('basedata_pt_b+c'!R12=":",NA(),'basedata_pt_b+c'!R12)</f>
        <v>4.42</v>
      </c>
    </row>
    <row r="13" spans="1:19" ht="11.25">
      <c r="A13" s="271">
        <v>1999</v>
      </c>
      <c r="B13" s="137">
        <f>IF('basedata_pt_b+c'!S13=":",NA(),'basedata_pt_b+c'!S13)</f>
        <v>386.3532675123201</v>
      </c>
      <c r="C13" s="137">
        <f>IF('basedata_pt_b+c'!B13=":",NA(),'basedata_pt_b+c'!B13)</f>
        <v>13.49</v>
      </c>
      <c r="D13" s="137">
        <f>IF('basedata_pt_b+c'!C13=":",NA(),'basedata_pt_b+c'!C13)</f>
        <v>9.127</v>
      </c>
      <c r="E13" s="137">
        <f>IF('basedata_pt_b+c'!D13=":",NA(),'basedata_pt_b+c'!D13)</f>
        <v>76.186171</v>
      </c>
      <c r="F13" s="137">
        <f>IF('basedata_pt_b+c'!E13=":",NA(),'basedata_pt_b+c'!E13)</f>
        <v>5.863</v>
      </c>
      <c r="G13" s="137">
        <f>IF('basedata_pt_b+c'!F13=":",NA(),'basedata_pt_b+c'!F13)</f>
        <v>46.142</v>
      </c>
      <c r="H13" s="137">
        <f>IF('basedata_pt_b+c'!G13=":",NA(),'basedata_pt_b+c'!G13)</f>
        <v>42.9</v>
      </c>
      <c r="I13" s="137">
        <f>IF('basedata_pt_b+c'!H13=":",NA(),'basedata_pt_b+c'!H13)</f>
        <v>5.9</v>
      </c>
      <c r="J13" s="137">
        <f>IF('basedata_pt_b+c'!I13=":",NA(),'basedata_pt_b+c'!I13)</f>
        <v>92.526</v>
      </c>
      <c r="K13" s="137">
        <f>IF('basedata_pt_b+c'!J13=":",NA(),'basedata_pt_b+c'!J13)</f>
        <v>0.9</v>
      </c>
      <c r="L13" s="137">
        <f>IF('basedata_pt_b+c'!K13=":",NA(),'basedata_pt_b+c'!K13)</f>
        <v>7.5</v>
      </c>
      <c r="M13" s="137">
        <f>IF('basedata_pt_b+c'!L13=":",NA(),'basedata_pt_b+c'!L13)</f>
        <v>12.9</v>
      </c>
      <c r="N13" s="137">
        <f>IF('basedata_pt_b+c'!M13=":",NA(),'basedata_pt_b+c'!M13)</f>
        <v>11.474</v>
      </c>
      <c r="O13" s="137">
        <f>IF('basedata_pt_b+c'!N13=":",NA(),'basedata_pt_b+c'!N13)</f>
        <v>7.6</v>
      </c>
      <c r="P13" s="137">
        <f>IF('basedata_pt_b+c'!O13=":",NA(),'basedata_pt_b+c'!O13)</f>
        <v>8.845096512320108</v>
      </c>
      <c r="Q13" s="137">
        <f>IF('basedata_pt_b+c'!P13=":",NA(),'basedata_pt_b+c'!P13)</f>
        <v>45</v>
      </c>
      <c r="R13" s="137">
        <f>IF('basedata_pt_b+c'!Q13=":",NA(),'basedata_pt_b+c'!Q13)</f>
        <v>0.468</v>
      </c>
      <c r="S13" s="137">
        <f>IF('basedata_pt_b+c'!R13=":",NA(),'basedata_pt_b+c'!R13)</f>
        <v>4.42</v>
      </c>
    </row>
    <row r="14" spans="1:19" ht="11.25">
      <c r="A14" s="271">
        <v>2000</v>
      </c>
      <c r="B14" s="137">
        <f>IF('basedata_pt_b+c'!S14=":",NA(),'basedata_pt_b+c'!S14)</f>
        <v>397.48351291308103</v>
      </c>
      <c r="C14" s="137">
        <f>IF('basedata_pt_b+c'!B14=":",NA(),'basedata_pt_b+c'!B14)</f>
        <v>13.19</v>
      </c>
      <c r="D14" s="137">
        <f>IF('basedata_pt_b+c'!C14=":",NA(),'basedata_pt_b+c'!C14)</f>
        <v>9.133</v>
      </c>
      <c r="E14" s="137">
        <f>IF('basedata_pt_b+c'!D14=":",NA(),'basedata_pt_b+c'!D14)</f>
        <v>77.33771899999999</v>
      </c>
      <c r="F14" s="137">
        <f>IF('basedata_pt_b+c'!E14=":",NA(),'basedata_pt_b+c'!E14)</f>
        <v>6.064</v>
      </c>
      <c r="G14" s="137">
        <f>IF('basedata_pt_b+c'!F14=":",NA(),'basedata_pt_b+c'!F14)</f>
        <v>50.278</v>
      </c>
      <c r="H14" s="137">
        <f>IF('basedata_pt_b+c'!G14=":",NA(),'basedata_pt_b+c'!G14)</f>
        <v>45.3</v>
      </c>
      <c r="I14" s="137">
        <f>IF('basedata_pt_b+c'!H14=":",NA(),'basedata_pt_b+c'!H14)</f>
        <v>6.277346777505395</v>
      </c>
      <c r="J14" s="137">
        <f>IF('basedata_pt_b+c'!I14=":",NA(),'basedata_pt_b+c'!I14)</f>
        <v>93.956</v>
      </c>
      <c r="K14" s="137">
        <f>IF('basedata_pt_b+c'!J14=":",NA(),'basedata_pt_b+c'!J14)</f>
        <v>0.8298464039608895</v>
      </c>
      <c r="L14" s="137">
        <f>IF('basedata_pt_b+c'!K14=":",NA(),'basedata_pt_b+c'!K14)</f>
        <v>7.5</v>
      </c>
      <c r="M14" s="137">
        <f>IF('basedata_pt_b+c'!L14=":",NA(),'basedata_pt_b+c'!L14)</f>
        <v>14.215948669154756</v>
      </c>
      <c r="N14" s="137">
        <f>IF('basedata_pt_b+c'!M14=":",NA(),'basedata_pt_b+c'!M14)</f>
        <v>11.828</v>
      </c>
      <c r="O14" s="137">
        <f>IF('basedata_pt_b+c'!N14=":",NA(),'basedata_pt_b+c'!N14)</f>
        <v>7.7</v>
      </c>
      <c r="P14" s="137">
        <f>IF('basedata_pt_b+c'!O14=":",NA(),'basedata_pt_b+c'!O14)</f>
        <v>8.873652062459986</v>
      </c>
      <c r="Q14" s="137">
        <f>IF('basedata_pt_b+c'!P14=":",NA(),'basedata_pt_b+c'!P14)</f>
        <v>45</v>
      </c>
      <c r="R14" s="137">
        <f>IF('basedata_pt_b+c'!Q14=":",NA(),'basedata_pt_b+c'!Q14)</f>
        <v>0.476</v>
      </c>
      <c r="S14" s="137">
        <f>IF('basedata_pt_b+c'!R14=":",NA(),'basedata_pt_b+c'!R14)</f>
        <v>4.42</v>
      </c>
    </row>
    <row r="15" spans="1:19" ht="11.25">
      <c r="A15" s="271">
        <v>2001</v>
      </c>
      <c r="B15" s="137" t="e">
        <f>IF('basedata_pt_b+c'!S15=":",NA(),'basedata_pt_b+c'!S15)</f>
        <v>#N/A</v>
      </c>
      <c r="C15" s="137">
        <f>IF('basedata_pt_b+c'!B15=":",NA(),'basedata_pt_b+c'!B15)</f>
        <v>13.47</v>
      </c>
      <c r="D15" s="137">
        <f>IF('basedata_pt_b+c'!C15=":",NA(),'basedata_pt_b+c'!C15)</f>
        <v>9.031</v>
      </c>
      <c r="E15" s="137">
        <f>IF('basedata_pt_b+c'!D15=":",NA(),'basedata_pt_b+c'!D15)</f>
        <v>76.962671</v>
      </c>
      <c r="F15" s="137" t="e">
        <f>IF('basedata_pt_b+c'!E15=":",NA(),'basedata_pt_b+c'!E15)</f>
        <v>#N/A</v>
      </c>
      <c r="G15" s="137" t="e">
        <f>IF('basedata_pt_b+c'!F15=":",NA(),'basedata_pt_b+c'!F15)</f>
        <v>#N/A</v>
      </c>
      <c r="H15" s="137">
        <f>IF('basedata_pt_b+c'!G15=":",NA(),'basedata_pt_b+c'!G15)</f>
        <v>44.8</v>
      </c>
      <c r="I15" s="137">
        <f>IF('basedata_pt_b+c'!H15=":",NA(),'basedata_pt_b+c'!H15)</f>
        <v>6.348309183877088</v>
      </c>
      <c r="J15" s="137" t="e">
        <f>IF('basedata_pt_b+c'!I15=":",NA(),'basedata_pt_b+c'!I15)</f>
        <v>#N/A</v>
      </c>
      <c r="K15" s="137">
        <f>IF('basedata_pt_b+c'!J15=":",NA(),'basedata_pt_b+c'!J15)</f>
        <v>0.9589506674941894</v>
      </c>
      <c r="L15" s="137">
        <f>IF('basedata_pt_b+c'!K15=":",NA(),'basedata_pt_b+c'!K15)</f>
        <v>7.6</v>
      </c>
      <c r="M15" s="137">
        <f>IF('basedata_pt_b+c'!L15=":",NA(),'basedata_pt_b+c'!L15)</f>
        <v>14.634083094612379</v>
      </c>
      <c r="N15" s="137" t="e">
        <f>IF('basedata_pt_b+c'!M15=":",NA(),'basedata_pt_b+c'!M15)</f>
        <v>#N/A</v>
      </c>
      <c r="O15" s="137" t="e">
        <f>IF('basedata_pt_b+c'!N15=":",NA(),'basedata_pt_b+c'!N15)</f>
        <v>#N/A</v>
      </c>
      <c r="P15" s="137">
        <f>IF('basedata_pt_b+c'!O15=":",NA(),'basedata_pt_b+c'!O15)</f>
        <v>9.093021826071645</v>
      </c>
      <c r="Q15" s="137" t="e">
        <f>IF('basedata_pt_b+c'!P15=":",NA(),'basedata_pt_b+c'!P15)</f>
        <v>#N/A</v>
      </c>
      <c r="R15" s="137">
        <f>IF('basedata_pt_b+c'!Q15=":",NA(),'basedata_pt_b+c'!Q15)</f>
        <v>0.479</v>
      </c>
      <c r="S15" s="137" t="e">
        <f>IF('basedata_pt_b+c'!R15=":",NA(),'basedata_pt_b+c'!R15)</f>
        <v>#N/A</v>
      </c>
    </row>
    <row r="16" spans="1:17" ht="11.25">
      <c r="A16" s="149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11.25">
      <c r="A17" s="138" t="s">
        <v>51</v>
      </c>
      <c r="B17" s="138" t="s">
        <v>117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9" spans="1:19" ht="11.25">
      <c r="A19" s="140" t="s">
        <v>364</v>
      </c>
      <c r="B19" s="295">
        <f>+B14/B5-1</f>
        <v>0.09580433066393845</v>
      </c>
      <c r="C19" s="295">
        <f aca="true" t="shared" si="0" ref="C19:S19">+C14/C5-1</f>
        <v>0.17767857142857135</v>
      </c>
      <c r="D19" s="295">
        <f t="shared" si="0"/>
        <v>0.20982911643926339</v>
      </c>
      <c r="E19" s="367">
        <f t="shared" si="0"/>
        <v>-0.052438211856266514</v>
      </c>
      <c r="F19" s="295">
        <f t="shared" si="0"/>
        <v>0.1927616050354053</v>
      </c>
      <c r="G19" s="295">
        <f t="shared" si="0"/>
        <v>0.41847933417971506</v>
      </c>
      <c r="H19" s="295">
        <f t="shared" si="0"/>
        <v>0.055944055944055826</v>
      </c>
      <c r="I19" s="295">
        <f t="shared" si="0"/>
        <v>0.5310601896354623</v>
      </c>
      <c r="J19" s="295">
        <f t="shared" si="0"/>
        <v>0.1005739721213541</v>
      </c>
      <c r="K19" s="295">
        <f t="shared" si="0"/>
        <v>1.0736206219498938</v>
      </c>
      <c r="L19" s="367">
        <f t="shared" si="0"/>
        <v>-0.08536585365853655</v>
      </c>
      <c r="M19" s="295">
        <f t="shared" si="0"/>
        <v>0.5795498521283062</v>
      </c>
      <c r="N19" s="295">
        <f t="shared" si="0"/>
        <v>0.10542056074766348</v>
      </c>
      <c r="O19" s="367">
        <f t="shared" si="0"/>
        <v>-0.0493827160493826</v>
      </c>
      <c r="P19" s="295">
        <f t="shared" si="0"/>
        <v>0.1280440668091687</v>
      </c>
      <c r="Q19" s="367">
        <f t="shared" si="0"/>
        <v>-0.004424778761062065</v>
      </c>
      <c r="R19" s="295">
        <f>+R14/R9-1</f>
        <v>0.223650385604113</v>
      </c>
      <c r="S19" s="295">
        <f t="shared" si="0"/>
        <v>0.12325285895806859</v>
      </c>
    </row>
    <row r="20" spans="2:19" ht="11.25">
      <c r="B20" s="295"/>
      <c r="C20" s="295"/>
      <c r="D20" s="295"/>
      <c r="E20" s="367"/>
      <c r="F20" s="295"/>
      <c r="G20" s="295"/>
      <c r="H20" s="295"/>
      <c r="I20" s="295"/>
      <c r="J20" s="295"/>
      <c r="K20" s="295"/>
      <c r="L20" s="367"/>
      <c r="M20" s="295"/>
      <c r="N20" s="295"/>
      <c r="O20" s="367"/>
      <c r="P20" s="295"/>
      <c r="Q20" s="367"/>
      <c r="R20" s="295"/>
      <c r="S20" s="295"/>
    </row>
    <row r="21" spans="2:19" ht="11.25">
      <c r="B21" s="295"/>
      <c r="C21" s="295"/>
      <c r="D21" s="295"/>
      <c r="E21" s="367"/>
      <c r="F21" s="295"/>
      <c r="G21" s="295"/>
      <c r="H21" s="295"/>
      <c r="I21" s="295"/>
      <c r="J21" s="295"/>
      <c r="K21" s="295"/>
      <c r="L21" s="367"/>
      <c r="M21" s="295"/>
      <c r="N21" s="295"/>
      <c r="O21" s="367"/>
      <c r="P21" s="295"/>
      <c r="Q21" s="367"/>
      <c r="R21" s="295"/>
      <c r="S21" s="295"/>
    </row>
    <row r="22" spans="1:19" ht="11.25">
      <c r="A22" s="140" t="s">
        <v>367</v>
      </c>
      <c r="B22" s="295"/>
      <c r="C22" s="295"/>
      <c r="D22" s="295"/>
      <c r="E22" s="367"/>
      <c r="F22" s="295"/>
      <c r="G22" s="295"/>
      <c r="H22" s="295"/>
      <c r="I22" s="295"/>
      <c r="J22" s="295"/>
      <c r="K22" s="295"/>
      <c r="L22" s="367"/>
      <c r="M22" s="295"/>
      <c r="N22" s="295"/>
      <c r="O22" s="367"/>
      <c r="P22" s="295"/>
      <c r="Q22" s="367"/>
      <c r="R22" s="295"/>
      <c r="S22" s="295"/>
    </row>
    <row r="24" spans="2:19" ht="11.25">
      <c r="B24" s="270" t="s">
        <v>5</v>
      </c>
      <c r="C24" s="270" t="s">
        <v>7</v>
      </c>
      <c r="D24" s="270" t="s">
        <v>8</v>
      </c>
      <c r="E24" s="270" t="s">
        <v>9</v>
      </c>
      <c r="F24" s="270" t="s">
        <v>10</v>
      </c>
      <c r="G24" s="270" t="s">
        <v>11</v>
      </c>
      <c r="H24" s="270" t="s">
        <v>12</v>
      </c>
      <c r="I24" s="270" t="s">
        <v>13</v>
      </c>
      <c r="J24" s="270" t="s">
        <v>14</v>
      </c>
      <c r="K24" s="270" t="s">
        <v>15</v>
      </c>
      <c r="L24" s="270" t="s">
        <v>16</v>
      </c>
      <c r="M24" s="270" t="s">
        <v>17</v>
      </c>
      <c r="N24" s="270" t="s">
        <v>18</v>
      </c>
      <c r="O24" s="270" t="s">
        <v>19</v>
      </c>
      <c r="P24" s="270" t="s">
        <v>20</v>
      </c>
      <c r="Q24" s="270" t="s">
        <v>21</v>
      </c>
      <c r="R24" s="366" t="s">
        <v>112</v>
      </c>
      <c r="S24" s="366" t="s">
        <v>113</v>
      </c>
    </row>
    <row r="25" spans="1:19" ht="11.25">
      <c r="A25" s="271">
        <v>1991</v>
      </c>
      <c r="B25" s="140">
        <f>+B5/'[6]manip_POP_EU'!B6*1000000</f>
        <v>994.9895531789901</v>
      </c>
      <c r="C25" s="140">
        <f>+C5/'[6]manip_POP_EU'!C6*1000000</f>
        <v>1123.6631418424063</v>
      </c>
      <c r="D25" s="140">
        <f>+D5/'[6]manip_POP_EU'!D6*1000000</f>
        <v>1468.6770428015564</v>
      </c>
      <c r="E25" s="140">
        <f>+E5/'[6]manip_POP_EU'!E6*1000000</f>
        <v>1027.502423426032</v>
      </c>
      <c r="F25" s="140">
        <f>+F5/'[6]manip_POP_EU'!F6*1000000</f>
        <v>500.3444542859954</v>
      </c>
      <c r="G25" s="140">
        <f>+G5/'[6]manip_POP_EU'!G6*1000000</f>
        <v>912.6841075290968</v>
      </c>
      <c r="H25" s="140">
        <f>+H5/'[6]manip_POP_EU'!H6*1000000</f>
        <v>756.1469992068388</v>
      </c>
      <c r="I25" s="140">
        <f>+I5/'[6]manip_POP_EU'!I6*1000000</f>
        <v>1169.490558503052</v>
      </c>
      <c r="J25" s="140">
        <f>+J5/'[6]manip_POP_EU'!J6*1000000</f>
        <v>1505.1393712865179</v>
      </c>
      <c r="K25" s="140">
        <f>+K5/'[6]manip_POP_EU'!K6*1000000</f>
        <v>1047.8973806110046</v>
      </c>
      <c r="L25" s="140">
        <f>+L5/'[6]manip_POP_EU'!L6*1000000</f>
        <v>548.4216158373462</v>
      </c>
      <c r="M25" s="140">
        <f>+M5/'[6]manip_POP_EU'!M6*1000000</f>
        <v>1164.9429825129114</v>
      </c>
      <c r="N25" s="140">
        <f>+N5/'[6]manip_POP_EU'!N6*1000000</f>
        <v>1081.2449474535165</v>
      </c>
      <c r="O25" s="140">
        <f>+O5/'[6]manip_POP_EU'!O6*1000000</f>
        <v>1624.5487364620938</v>
      </c>
      <c r="P25" s="140">
        <f>+P5/'[6]manip_POP_EU'!P6*1000000</f>
        <v>919.0799754426245</v>
      </c>
      <c r="Q25" s="140">
        <f>+Q5/'[6]manip_POP_EU'!Q6*1000000</f>
        <v>785.2539045534303</v>
      </c>
      <c r="R25" s="140" t="e">
        <f>+R5/'[6]manip_POP_EU'!S6*1000000</f>
        <v>#N/A</v>
      </c>
      <c r="S25" s="140">
        <f>+S5/'[6]manip_POP_EU'!U6*1000000</f>
        <v>927.7378285983733</v>
      </c>
    </row>
    <row r="26" spans="1:19" ht="11.25">
      <c r="A26" s="271">
        <v>1992</v>
      </c>
      <c r="B26" s="140">
        <f>+B6/'[6]manip_POP_EU'!B7*1000000</f>
        <v>994.8308274718916</v>
      </c>
      <c r="C26" s="140">
        <f>+C6/'[6]manip_POP_EU'!C7*1000000</f>
        <v>1155.480033984707</v>
      </c>
      <c r="D26" s="140">
        <f>+D6/'[6]manip_POP_EU'!D7*1000000</f>
        <v>1474.1948001552194</v>
      </c>
      <c r="E26" s="140">
        <f>+E6/'[6]manip_POP_EU'!E7*1000000</f>
        <v>1005.1116054690428</v>
      </c>
      <c r="F26" s="140">
        <f>+F6/'[6]manip_POP_EU'!F7*1000000</f>
        <v>503.65960769005557</v>
      </c>
      <c r="G26" s="140">
        <f>+G6/'[6]manip_POP_EU'!G7*1000000</f>
        <v>912.7865145441463</v>
      </c>
      <c r="H26" s="140">
        <f>+H6/'[6]manip_POP_EU'!H7*1000000</f>
        <v>733.6229213285945</v>
      </c>
      <c r="I26" s="140">
        <f>+I6/'[6]manip_POP_EU'!I7*1000000</f>
        <v>1219.6159627875315</v>
      </c>
      <c r="J26" s="140">
        <f>+J6/'[6]manip_POP_EU'!J7*1000000</f>
        <v>1493.735793201882</v>
      </c>
      <c r="K26" s="140">
        <f>+K6/'[6]manip_POP_EU'!K7*1000000</f>
        <v>1025.3657141055876</v>
      </c>
      <c r="L26" s="140">
        <f>+L6/'[6]manip_POP_EU'!L7*1000000</f>
        <v>583.9416058394161</v>
      </c>
      <c r="M26" s="140">
        <f>+M6/'[6]manip_POP_EU'!M7*1000000</f>
        <v>1201.139805006453</v>
      </c>
      <c r="N26" s="140">
        <f>+N6/'[6]manip_POP_EU'!N7*1000000</f>
        <v>1436.113081365893</v>
      </c>
      <c r="O26" s="140">
        <f>+O6/'[6]manip_POP_EU'!O7*1000000</f>
        <v>1595.5325089748703</v>
      </c>
      <c r="P26" s="140">
        <f>+P6/'[6]manip_POP_EU'!P7*1000000</f>
        <v>949.6283855498501</v>
      </c>
      <c r="Q26" s="140">
        <f>+Q6/'[6]manip_POP_EU'!Q7*1000000</f>
        <v>764.6000553556602</v>
      </c>
      <c r="R26" s="140" t="e">
        <f>+R6/'[6]manip_POP_EU'!S7*1000000</f>
        <v>#N/A</v>
      </c>
      <c r="S26" s="140">
        <f>+S6/'[6]manip_POP_EU'!U7*1000000</f>
        <v>926.8601731703312</v>
      </c>
    </row>
    <row r="27" spans="1:19" ht="11.25">
      <c r="A27" s="271">
        <v>1993</v>
      </c>
      <c r="B27" s="140">
        <f>+B7/'[6]manip_POP_EU'!B8*1000000</f>
        <v>980.1903571535059</v>
      </c>
      <c r="C27" s="140">
        <f>+C7/'[6]manip_POP_EU'!C8*1000000</f>
        <v>1154.8033847685415</v>
      </c>
      <c r="D27" s="140">
        <f>+D7/'[6]manip_POP_EU'!D8*1000000</f>
        <v>1515.0870406189556</v>
      </c>
      <c r="E27" s="140">
        <f>+E7/'[6]manip_POP_EU'!E8*1000000</f>
        <v>987.7158166302837</v>
      </c>
      <c r="F27" s="140">
        <f>+F7/'[6]manip_POP_EU'!F8*1000000</f>
        <v>499.70935865142417</v>
      </c>
      <c r="G27" s="140">
        <f>+G7/'[6]manip_POP_EU'!G8*1000000</f>
        <v>950.8793518945804</v>
      </c>
      <c r="H27" s="140">
        <f>+H7/'[6]manip_POP_EU'!H8*1000000</f>
        <v>733.7231383085585</v>
      </c>
      <c r="I27" s="140">
        <f>+I7/'[6]manip_POP_EU'!I8*1000000</f>
        <v>1265.109464371249</v>
      </c>
      <c r="J27" s="140">
        <f>+J7/'[6]manip_POP_EU'!J8*1000000</f>
        <v>1426.4408448970257</v>
      </c>
      <c r="K27" s="140">
        <f>+K7/'[6]manip_POP_EU'!K8*1000000</f>
        <v>1019.1082802547772</v>
      </c>
      <c r="L27" s="140">
        <f>+L7/'[6]manip_POP_EU'!L8*1000000</f>
        <v>573.1980498089339</v>
      </c>
      <c r="M27" s="140">
        <f>+M7/'[6]manip_POP_EU'!M8*1000000</f>
        <v>1301.918750158</v>
      </c>
      <c r="N27" s="140">
        <f>+N7/'[6]manip_POP_EU'!N8*1000000</f>
        <v>1231.37731833384</v>
      </c>
      <c r="O27" s="140">
        <f>+O7/'[6]manip_POP_EU'!O8*1000000</f>
        <v>1586.6719555731852</v>
      </c>
      <c r="P27" s="140">
        <f>+P7/'[6]manip_POP_EU'!P8*1000000</f>
        <v>915.3302985063833</v>
      </c>
      <c r="Q27" s="140">
        <f>+Q7/'[6]manip_POP_EU'!Q8*1000000</f>
        <v>761.9901389511431</v>
      </c>
      <c r="R27" s="140" t="e">
        <f>+R7/'[6]manip_POP_EU'!S8*1000000</f>
        <v>#N/A</v>
      </c>
      <c r="S27" s="140">
        <f>+S7/'[6]manip_POP_EU'!U8*1000000</f>
        <v>916.8533034714447</v>
      </c>
    </row>
    <row r="28" spans="1:19" ht="11.25">
      <c r="A28" s="271">
        <v>1994</v>
      </c>
      <c r="B28" s="140">
        <f>+B8/'[6]manip_POP_EU'!B9*1000000</f>
        <v>990.5851101664601</v>
      </c>
      <c r="C28" s="140">
        <f>+C8/'[6]manip_POP_EU'!C9*1000000</f>
        <v>1189.9449650453666</v>
      </c>
      <c r="D28" s="140">
        <f>+D8/'[6]manip_POP_EU'!D9*1000000</f>
        <v>1545.1917517826173</v>
      </c>
      <c r="E28" s="140">
        <f>+E8/'[6]manip_POP_EU'!E9*1000000</f>
        <v>954.8117206367982</v>
      </c>
      <c r="F28" s="140">
        <f>+F8/'[6]manip_POP_EU'!F9*1000000</f>
        <v>536.3268452495663</v>
      </c>
      <c r="G28" s="140">
        <f>+G8/'[6]manip_POP_EU'!G9*1000000</f>
        <v>975.6671698692526</v>
      </c>
      <c r="H28" s="140">
        <f>+H8/'[6]manip_POP_EU'!H9*1000000</f>
        <v>743.0028101862728</v>
      </c>
      <c r="I28" s="140">
        <f>+I8/'[6]manip_POP_EU'!I9*1000000</f>
        <v>1403.1936687901664</v>
      </c>
      <c r="J28" s="140">
        <f>+J8/'[6]manip_POP_EU'!J9*1000000</f>
        <v>1506.1263124682291</v>
      </c>
      <c r="K28" s="140">
        <f>+K8/'[6]manip_POP_EU'!K9*1000000</f>
        <v>1004.7726701833709</v>
      </c>
      <c r="L28" s="140">
        <f>+L8/'[6]manip_POP_EU'!L9*1000000</f>
        <v>530.1359373261514</v>
      </c>
      <c r="M28" s="140">
        <f>+M8/'[6]manip_POP_EU'!M9*1000000</f>
        <v>1351.94341866433</v>
      </c>
      <c r="N28" s="140">
        <f>+N8/'[6]manip_POP_EU'!N9*1000000</f>
        <v>1185.203926728064</v>
      </c>
      <c r="O28" s="140">
        <f>+O8/'[6]manip_POP_EU'!O9*1000000</f>
        <v>1579.1551519936834</v>
      </c>
      <c r="P28" s="140">
        <f>+P8/'[6]manip_POP_EU'!P9*1000000</f>
        <v>903.4878359956957</v>
      </c>
      <c r="Q28" s="140">
        <f>+Q8/'[6]manip_POP_EU'!Q9*1000000</f>
        <v>761.2861095358388</v>
      </c>
      <c r="R28" s="140" t="e">
        <f>+R8/'[6]manip_POP_EU'!S9*1000000</f>
        <v>#N/A</v>
      </c>
      <c r="S28" s="140">
        <f>+S8/'[6]manip_POP_EU'!U9*1000000</f>
        <v>918.3673469387754</v>
      </c>
    </row>
    <row r="29" spans="1:19" ht="11.25">
      <c r="A29" s="271">
        <v>1995</v>
      </c>
      <c r="B29" s="140">
        <f>+B9/'[6]manip_POP_EU'!B10*1000000</f>
        <v>995.2841917918607</v>
      </c>
      <c r="C29" s="140">
        <f>+C9/'[6]manip_POP_EU'!C10*1000000</f>
        <v>1292.0637431294238</v>
      </c>
      <c r="D29" s="140">
        <f>+D9/'[6]manip_POP_EU'!D10*1000000</f>
        <v>1680.8837656099906</v>
      </c>
      <c r="E29" s="140">
        <f>+E9/'[6]manip_POP_EU'!E10*1000000</f>
        <v>943.9913636586681</v>
      </c>
      <c r="F29" s="140">
        <f>+F9/'[6]manip_POP_EU'!F10*1000000</f>
        <v>543.9286399386151</v>
      </c>
      <c r="G29" s="140">
        <f>+G9/'[6]manip_POP_EU'!G10*1000000</f>
        <v>1012.9014127685666</v>
      </c>
      <c r="H29" s="140">
        <f>+H9/'[6]manip_POP_EU'!H10*1000000</f>
        <v>721.4556755669324</v>
      </c>
      <c r="I29" s="140">
        <f>+I9/'[6]manip_POP_EU'!I10*1000000</f>
        <v>1442.2942280225166</v>
      </c>
      <c r="J29" s="140">
        <f>+J9/'[6]manip_POP_EU'!J10*1000000</f>
        <v>1525.6827731092437</v>
      </c>
      <c r="K29" s="140">
        <f>+K9/'[6]manip_POP_EU'!K10*1000000</f>
        <v>2228.826151560178</v>
      </c>
      <c r="L29" s="140">
        <f>+L9/'[6]manip_POP_EU'!L10*1000000</f>
        <v>520.1178326949971</v>
      </c>
      <c r="M29" s="140">
        <f>+M9/'[6]manip_POP_EU'!M10*1000000</f>
        <v>1308.0037371535348</v>
      </c>
      <c r="N29" s="140">
        <f>+N9/'[6]manip_POP_EU'!N10*1000000</f>
        <v>1135.7301555241365</v>
      </c>
      <c r="O29" s="140">
        <f>+O9/'[6]manip_POP_EU'!O10*1000000</f>
        <v>1572.0180782078994</v>
      </c>
      <c r="P29" s="140">
        <f>+P9/'[6]manip_POP_EU'!P10*1000000</f>
        <v>917.5700294040477</v>
      </c>
      <c r="Q29" s="140">
        <f>+Q9/'[6]manip_POP_EU'!Q10*1000000</f>
        <v>758.6265947427005</v>
      </c>
      <c r="R29" s="140">
        <f>+R9/'[6]manip_POP_EU'!S10*1000000</f>
        <v>1462.406015037594</v>
      </c>
      <c r="S29" s="140">
        <f>+S9/'[6]manip_POP_EU'!U10*1000000</f>
        <v>865.1939307291425</v>
      </c>
    </row>
    <row r="30" spans="1:19" ht="11.25">
      <c r="A30" s="271">
        <v>1996</v>
      </c>
      <c r="B30" s="140">
        <f>+B10/'[6]manip_POP_EU'!B11*1000000</f>
        <v>1000.5043849252042</v>
      </c>
      <c r="C30" s="140">
        <f>+C10/'[6]manip_POP_EU'!C11*1000000</f>
        <v>1295.28056191303</v>
      </c>
      <c r="D30" s="140">
        <f>+D10/'[6]manip_POP_EU'!D11*1000000</f>
        <v>1786.72532517215</v>
      </c>
      <c r="E30" s="140">
        <f>+E10/'[6]manip_POP_EU'!E11*1000000</f>
        <v>938.9088949315303</v>
      </c>
      <c r="F30" s="140">
        <f>+F10/'[6]manip_POP_EU'!F11*1000000</f>
        <v>546.5672212660164</v>
      </c>
      <c r="G30" s="140">
        <f>+G10/'[6]manip_POP_EU'!G11*1000000</f>
        <v>961.8974751338944</v>
      </c>
      <c r="H30" s="140">
        <f>+H10/'[6]manip_POP_EU'!H11*1000000</f>
        <v>733.0060161814536</v>
      </c>
      <c r="I30" s="140">
        <f>+I10/'[6]manip_POP_EU'!I11*1000000</f>
        <v>1471.4047751249304</v>
      </c>
      <c r="J30" s="140">
        <f>+J10/'[6]manip_POP_EU'!J11*1000000</f>
        <v>1551.2201943920006</v>
      </c>
      <c r="K30" s="140">
        <f>+K10/'[6]manip_POP_EU'!K11*1000000</f>
        <v>2197.802197802198</v>
      </c>
      <c r="L30" s="140">
        <f>+L10/'[6]manip_POP_EU'!L11*1000000</f>
        <v>510.99611901681766</v>
      </c>
      <c r="M30" s="140">
        <f>+M10/'[6]manip_POP_EU'!M11*1000000</f>
        <v>1553.3739281719895</v>
      </c>
      <c r="N30" s="140">
        <f>+N10/'[6]manip_POP_EU'!N11*1000000</f>
        <v>1122.3934723481414</v>
      </c>
      <c r="O30" s="140">
        <f>+O10/'[6]manip_POP_EU'!O11*1000000</f>
        <v>1566.1707126076742</v>
      </c>
      <c r="P30" s="140">
        <f>+P10/'[6]manip_POP_EU'!P11*1000000</f>
        <v>935.9513741385947</v>
      </c>
      <c r="Q30" s="140">
        <f>+Q10/'[6]manip_POP_EU'!Q11*1000000</f>
        <v>754.188990888305</v>
      </c>
      <c r="R30" s="140">
        <f>+R10/'[6]manip_POP_EU'!S11*1000000</f>
        <v>1522.3880597014925</v>
      </c>
      <c r="S30" s="140">
        <f>+S10/'[6]manip_POP_EU'!U11*1000000</f>
        <v>944.2660550458716</v>
      </c>
    </row>
    <row r="31" spans="1:19" ht="11.25">
      <c r="A31" s="271">
        <v>1997</v>
      </c>
      <c r="B31" s="140">
        <f>+B11/'[6]manip_POP_EU'!B12*1000000</f>
        <v>1015.7371914312342</v>
      </c>
      <c r="C31" s="140">
        <f>+C11/'[6]manip_POP_EU'!C12*1000000</f>
        <v>1307.472678940632</v>
      </c>
      <c r="D31" s="140">
        <f>+D11/'[6]manip_POP_EU'!D12*1000000</f>
        <v>1745.5340174838466</v>
      </c>
      <c r="E31" s="140">
        <f>+E11/'[6]manip_POP_EU'!E12*1000000</f>
        <v>930.3618517433343</v>
      </c>
      <c r="F31" s="140">
        <f>+F11/'[6]manip_POP_EU'!F12*1000000</f>
        <v>556.0859188544154</v>
      </c>
      <c r="G31" s="140">
        <f>+G11/'[6]manip_POP_EU'!G12*1000000</f>
        <v>1119.7376227665216</v>
      </c>
      <c r="H31" s="140">
        <f>+H11/'[6]manip_POP_EU'!H12*1000000</f>
        <v>723.8134629304105</v>
      </c>
      <c r="I31" s="140">
        <f>+I11/'[6]manip_POP_EU'!I12*1000000</f>
        <v>1514.3171806167402</v>
      </c>
      <c r="J31" s="140">
        <f>+J11/'[6]manip_POP_EU'!J12*1000000</f>
        <v>1568.5430463576158</v>
      </c>
      <c r="K31" s="140">
        <f>+K11/'[6]manip_POP_EU'!K12*1000000</f>
        <v>2165.8043556732046</v>
      </c>
      <c r="L31" s="140">
        <f>+L11/'[6]manip_POP_EU'!L12*1000000</f>
        <v>515.5635754333956</v>
      </c>
      <c r="M31" s="140">
        <f>+M11/'[6]manip_POP_EU'!M12*1000000</f>
        <v>1575.8016425560743</v>
      </c>
      <c r="N31" s="140">
        <f>+N11/'[6]manip_POP_EU'!N12*1000000</f>
        <v>1051.5609264853977</v>
      </c>
      <c r="O31" s="140">
        <f>+O11/'[6]manip_POP_EU'!O12*1000000</f>
        <v>1560.9756097560976</v>
      </c>
      <c r="P31" s="140">
        <f>+P11/'[6]manip_POP_EU'!P12*1000000</f>
        <v>956.4384482309966</v>
      </c>
      <c r="Q31" s="140">
        <f>+Q11/'[6]manip_POP_EU'!Q12*1000000</f>
        <v>751.6751130913915</v>
      </c>
      <c r="R31" s="140">
        <f>+R11/'[6]manip_POP_EU'!S12*1000000</f>
        <v>1603.7037037037037</v>
      </c>
      <c r="S31" s="140">
        <f>+S11/'[6]manip_POP_EU'!U12*1000000</f>
        <v>969.6416343300617</v>
      </c>
    </row>
    <row r="32" spans="1:19" ht="11.25">
      <c r="A32" s="271">
        <v>1998</v>
      </c>
      <c r="B32" s="140">
        <f>+B12/'[6]manip_POP_EU'!B13*1000000</f>
        <v>1018.5901664156421</v>
      </c>
      <c r="C32" s="140">
        <f>+C12/'[6]manip_POP_EU'!C13*1000000</f>
        <v>1338.7682938807584</v>
      </c>
      <c r="D32" s="140">
        <f>+D12/'[6]manip_POP_EU'!D13*1000000</f>
        <v>1723.0546797824466</v>
      </c>
      <c r="E32" s="140">
        <f>+E12/'[6]manip_POP_EU'!E13*1000000</f>
        <v>922.3964616003217</v>
      </c>
      <c r="F32" s="140">
        <f>+F12/'[6]manip_POP_EU'!F13*1000000</f>
        <v>561.0174335524435</v>
      </c>
      <c r="G32" s="140">
        <f>+G12/'[6]manip_POP_EU'!G13*1000000</f>
        <v>1093.583907636752</v>
      </c>
      <c r="H32" s="140">
        <f>+H12/'[6]manip_POP_EU'!H13*1000000</f>
        <v>733.5761407366685</v>
      </c>
      <c r="I32" s="140">
        <f>+I12/'[6]manip_POP_EU'!I13*1000000</f>
        <v>1553.133514986376</v>
      </c>
      <c r="J32" s="140">
        <f>+J12/'[6]manip_POP_EU'!J13*1000000</f>
        <v>1575.2481616049233</v>
      </c>
      <c r="K32" s="140">
        <f>+K12/'[6]manip_POP_EU'!K13*1000000</f>
        <v>2135.231316725979</v>
      </c>
      <c r="L32" s="140">
        <f>+L12/'[6]manip_POP_EU'!L13*1000000</f>
        <v>499.77574165438585</v>
      </c>
      <c r="M32" s="140">
        <f>+M12/'[6]manip_POP_EU'!M13*1000000</f>
        <v>1598.0813113681804</v>
      </c>
      <c r="N32" s="140">
        <f>+N12/'[6]manip_POP_EU'!N13*1000000</f>
        <v>1147.2096530920062</v>
      </c>
      <c r="O32" s="140">
        <f>+O12/'[6]manip_POP_EU'!O13*1000000</f>
        <v>1517.5569667538289</v>
      </c>
      <c r="P32" s="140">
        <f>+P12/'[6]manip_POP_EU'!P13*1000000</f>
        <v>971.7231985937407</v>
      </c>
      <c r="Q32" s="140">
        <f>+Q12/'[6]manip_POP_EU'!Q13*1000000</f>
        <v>762.5955362741277</v>
      </c>
      <c r="R32" s="140">
        <f>+R12/'[6]manip_POP_EU'!S13*1000000</f>
        <v>1683.8235294117646</v>
      </c>
      <c r="S32" s="140">
        <f>+S12/'[6]manip_POP_EU'!U13*1000000</f>
        <v>1003.6102722463158</v>
      </c>
    </row>
    <row r="33" spans="1:19" ht="11.25">
      <c r="A33" s="271">
        <v>1999</v>
      </c>
      <c r="B33" s="140">
        <f>+B13/'[6]manip_POP_EU'!B14*1000000</f>
        <v>1031.4695467093973</v>
      </c>
      <c r="C33" s="140">
        <f>+C13/'[6]manip_POP_EU'!C14*1000000</f>
        <v>1322.1601489757916</v>
      </c>
      <c r="D33" s="140">
        <f>+D13/'[6]manip_POP_EU'!D14*1000000</f>
        <v>1721.7506130918696</v>
      </c>
      <c r="E33" s="140">
        <f>+E13/'[6]manip_POP_EU'!E14*1000000</f>
        <v>928.5674186746621</v>
      </c>
      <c r="F33" s="140">
        <f>+F13/'[6]manip_POP_EU'!F14*1000000</f>
        <v>557.584403233476</v>
      </c>
      <c r="G33" s="140">
        <f>+G13/'[6]manip_POP_EU'!G14*1000000</f>
        <v>1171.979375682609</v>
      </c>
      <c r="H33" s="140">
        <f>+H13/'[6]manip_POP_EU'!H14*1000000</f>
        <v>734.6141991164081</v>
      </c>
      <c r="I33" s="140">
        <f>+I13/'[6]manip_POP_EU'!I14*1000000</f>
        <v>1589.439655172414</v>
      </c>
      <c r="J33" s="140">
        <f>+J13/'[6]manip_POP_EU'!J14*1000000</f>
        <v>1606.6888935194831</v>
      </c>
      <c r="K33" s="140">
        <f>+K13/'[6]manip_POP_EU'!K14*1000000</f>
        <v>2109.7046413502107</v>
      </c>
      <c r="L33" s="140">
        <f>+L13/'[6]manip_POP_EU'!L14*1000000</f>
        <v>477.7678685182826</v>
      </c>
      <c r="M33" s="140">
        <f>+M13/'[6]manip_POP_EU'!M14*1000000</f>
        <v>1596.8409781579387</v>
      </c>
      <c r="N33" s="140">
        <f>+N13/'[6]manip_POP_EU'!N14*1000000</f>
        <v>1151.0834670947029</v>
      </c>
      <c r="O33" s="140">
        <f>+O13/'[6]manip_POP_EU'!O14*1000000</f>
        <v>1474.8690083446536</v>
      </c>
      <c r="P33" s="140">
        <f>+P13/'[6]manip_POP_EU'!P14*1000000</f>
        <v>999.2426977925517</v>
      </c>
      <c r="Q33" s="140">
        <f>+Q13/'[6]manip_POP_EU'!Q14*1000000</f>
        <v>759.4295840013501</v>
      </c>
      <c r="R33" s="140">
        <f>+R13/'[6]manip_POP_EU'!S14*1000000</f>
        <v>1708.029197080292</v>
      </c>
      <c r="S33" s="140">
        <f>+S13/'[6]manip_POP_EU'!U14*1000000</f>
        <v>997.2924187725632</v>
      </c>
    </row>
    <row r="34" spans="1:19" ht="11.25">
      <c r="A34" s="271">
        <v>2000</v>
      </c>
      <c r="B34" s="140">
        <f>+B14/'[6]manip_POP_EU'!B15*1000000</f>
        <v>1058.6925202017724</v>
      </c>
      <c r="C34" s="140">
        <f>+C14/'[6]manip_POP_EU'!C15*1000000</f>
        <v>1289.8494034813223</v>
      </c>
      <c r="D34" s="140">
        <f>+D14/'[6]manip_POP_EU'!D15*1000000</f>
        <v>1717.0520774581687</v>
      </c>
      <c r="E34" s="140">
        <f>+E14/'[6]manip_POP_EU'!E15*1000000</f>
        <v>942.1433235469684</v>
      </c>
      <c r="F34" s="140">
        <f>+F14/'[6]manip_POP_EU'!F15*1000000</f>
        <v>575.4412602011766</v>
      </c>
      <c r="G34" s="140">
        <f>+G14/'[6]manip_POP_EU'!G15*1000000</f>
        <v>1275.5086508701609</v>
      </c>
      <c r="H34" s="140">
        <f>+H14/'[6]manip_POP_EU'!H15*1000000</f>
        <v>772.7737973387922</v>
      </c>
      <c r="I34" s="140">
        <f>+I14/'[6]manip_POP_EU'!I15*1000000</f>
        <v>1673.0668383543164</v>
      </c>
      <c r="J34" s="140">
        <f>+J14/'[6]manip_POP_EU'!J15*1000000</f>
        <v>1629.8789161433579</v>
      </c>
      <c r="K34" s="140">
        <f>+K14/'[6]manip_POP_EU'!K15*1000000</f>
        <v>1920.9407499094664</v>
      </c>
      <c r="L34" s="140">
        <f>+L14/'[6]manip_POP_EU'!L15*1000000</f>
        <v>474.5333755140778</v>
      </c>
      <c r="M34" s="140">
        <f>+M14/'[6]manip_POP_EU'!M15*1000000</f>
        <v>1756.736219117644</v>
      </c>
      <c r="N34" s="140">
        <f>+N14/'[6]manip_POP_EU'!N15*1000000</f>
        <v>1184.1025127640405</v>
      </c>
      <c r="O34" s="140">
        <f>+O14/'[6]manip_POP_EU'!O15*1000000</f>
        <v>1490.8034849951596</v>
      </c>
      <c r="P34" s="140">
        <f>+P14/'[6]manip_POP_EU'!P15*1000000</f>
        <v>1001.8348570076981</v>
      </c>
      <c r="Q34" s="140">
        <f>+Q14/'[6]manip_POP_EU'!Q15*1000000</f>
        <v>756.2910813113751</v>
      </c>
      <c r="R34" s="140">
        <f>+R14/'[6]manip_POP_EU'!S15*1000000</f>
        <v>1715.3153153153153</v>
      </c>
      <c r="S34" s="140">
        <f>+S14/'[6]manip_POP_EU'!U15*1000000</f>
        <v>991.0313901345291</v>
      </c>
    </row>
    <row r="35" spans="1:19" ht="11.25">
      <c r="A35" s="271">
        <v>2001</v>
      </c>
      <c r="B35" s="140" t="e">
        <f>+B15/'[6]manip_POP_EU'!B16*1000000</f>
        <v>#N/A</v>
      </c>
      <c r="C35" s="140">
        <f>+C15/'[6]manip_POP_EU'!C16*1000000</f>
        <v>1313.889972688256</v>
      </c>
      <c r="D35" s="140">
        <f>+D15/'[6]manip_POP_EU'!D16*1000000</f>
        <v>1692.466266866567</v>
      </c>
      <c r="E35" s="140">
        <f>+E15/'[6]manip_POP_EU'!E16*1000000</f>
        <v>936.855398660986</v>
      </c>
      <c r="F35" s="140" t="e">
        <f>+F15/'[6]manip_POP_EU'!F16*1000000</f>
        <v>#N/A</v>
      </c>
      <c r="G35" s="140" t="e">
        <f>+G15/'[6]manip_POP_EU'!G16*1000000</f>
        <v>#N/A</v>
      </c>
      <c r="H35" s="140">
        <f>+H15/'[6]manip_POP_EU'!H16*1000000</f>
        <v>760.7145282890715</v>
      </c>
      <c r="I35" s="140">
        <f>+I15/'[6]manip_POP_EU'!I16*1000000</f>
        <v>1673.249653104135</v>
      </c>
      <c r="J35" s="140" t="e">
        <f>+J15/'[6]manip_POP_EU'!J16*1000000</f>
        <v>#N/A</v>
      </c>
      <c r="K35" s="140">
        <f>+K15/'[6]manip_POP_EU'!K16*1000000</f>
        <v>2187.3874714739727</v>
      </c>
      <c r="L35" s="140">
        <f>+L15/'[6]manip_POP_EU'!L16*1000000</f>
        <v>477.41692317356615</v>
      </c>
      <c r="M35" s="140">
        <f>+M15/'[6]manip_POP_EU'!M16*1000000</f>
        <v>1804.3958125298855</v>
      </c>
      <c r="N35" s="140" t="e">
        <f>+N15/'[6]manip_POP_EU'!N16*1000000</f>
        <v>#N/A</v>
      </c>
      <c r="O35" s="140" t="e">
        <f>+O15/'[6]manip_POP_EU'!O16*1000000</f>
        <v>#N/A</v>
      </c>
      <c r="P35" s="140">
        <f>+P15/'[6]manip_POP_EU'!P16*1000000</f>
        <v>1025.2589723837689</v>
      </c>
      <c r="Q35" s="140" t="e">
        <f>+Q15/'[6]manip_POP_EU'!Q16*1000000</f>
        <v>#N/A</v>
      </c>
      <c r="R35" s="140">
        <f>+R15/'[6]manip_POP_EU'!S16*1000000</f>
        <v>1704.626334519573</v>
      </c>
      <c r="S35" s="140" t="e">
        <f>+S15/'[6]manip_POP_EU'!U16*1000000</f>
        <v>#N/A</v>
      </c>
    </row>
    <row r="37" ht="11.25">
      <c r="A37" s="144"/>
    </row>
    <row r="38" ht="11.25">
      <c r="A38" s="151"/>
    </row>
    <row r="39" ht="11.25">
      <c r="A39" s="151"/>
    </row>
    <row r="40" spans="1:17" ht="11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</row>
    <row r="41" spans="1:17" ht="11.2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</row>
    <row r="42" spans="1:17" ht="11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ht="11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7" ht="11.2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  <row r="45" spans="1:17" ht="11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1:17" ht="11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 ht="11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 ht="11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 ht="11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ht="11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</sheetData>
  <conditionalFormatting sqref="Q9:Q17 D5:Q8 D9:P15 B5:C15 R5:S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U19"/>
  <sheetViews>
    <sheetView workbookViewId="0" topLeftCell="A1">
      <selection activeCell="Q8" sqref="Q8"/>
    </sheetView>
  </sheetViews>
  <sheetFormatPr defaultColWidth="9.140625" defaultRowHeight="12.75"/>
  <cols>
    <col min="1" max="21" width="6.7109375" style="3" customWidth="1"/>
    <col min="22" max="16384" width="9.140625" style="3" customWidth="1"/>
  </cols>
  <sheetData>
    <row r="1" spans="1:4" ht="11.25">
      <c r="A1" s="2" t="s">
        <v>30</v>
      </c>
      <c r="B1" s="2"/>
      <c r="C1" s="2"/>
      <c r="D1" s="2"/>
    </row>
    <row r="2" ht="11.25">
      <c r="A2" s="57" t="s">
        <v>3</v>
      </c>
    </row>
    <row r="4" spans="1:21" ht="12">
      <c r="A4" s="92"/>
      <c r="B4" s="93" t="s">
        <v>66</v>
      </c>
      <c r="C4" s="93" t="s">
        <v>67</v>
      </c>
      <c r="D4" s="93" t="s">
        <v>68</v>
      </c>
      <c r="E4" s="93" t="s">
        <v>10</v>
      </c>
      <c r="F4" s="93" t="s">
        <v>69</v>
      </c>
      <c r="G4" s="93" t="s">
        <v>70</v>
      </c>
      <c r="H4" s="93" t="s">
        <v>71</v>
      </c>
      <c r="I4" s="93" t="s">
        <v>72</v>
      </c>
      <c r="J4" s="93" t="s">
        <v>73</v>
      </c>
      <c r="K4" s="93" t="s">
        <v>74</v>
      </c>
      <c r="L4" s="93" t="s">
        <v>75</v>
      </c>
      <c r="M4" s="93" t="s">
        <v>76</v>
      </c>
      <c r="N4" s="93" t="s">
        <v>19</v>
      </c>
      <c r="O4" s="93" t="s">
        <v>20</v>
      </c>
      <c r="P4" s="93" t="s">
        <v>79</v>
      </c>
      <c r="Q4" s="94" t="s">
        <v>112</v>
      </c>
      <c r="R4" s="94" t="s">
        <v>113</v>
      </c>
      <c r="S4" s="95" t="s">
        <v>114</v>
      </c>
      <c r="T4" s="95" t="s">
        <v>115</v>
      </c>
      <c r="U4" s="95" t="s">
        <v>116</v>
      </c>
    </row>
    <row r="5" spans="1:21" ht="12">
      <c r="A5" s="96">
        <v>1991</v>
      </c>
      <c r="B5" s="143" t="e">
        <f>NA()</f>
        <v>#N/A</v>
      </c>
      <c r="C5" s="143">
        <v>7.549</v>
      </c>
      <c r="D5" s="143">
        <v>81.61760000000001</v>
      </c>
      <c r="E5" s="143">
        <v>5.084</v>
      </c>
      <c r="F5" s="143">
        <v>35.445</v>
      </c>
      <c r="G5" s="143">
        <v>42.9</v>
      </c>
      <c r="H5" s="143">
        <v>4.1</v>
      </c>
      <c r="I5" s="143">
        <v>85.37</v>
      </c>
      <c r="J5" s="143">
        <v>0.40019200965534263</v>
      </c>
      <c r="K5" s="143">
        <v>8.2</v>
      </c>
      <c r="L5" s="143">
        <v>9</v>
      </c>
      <c r="M5" s="143">
        <v>10.7</v>
      </c>
      <c r="N5" s="143">
        <v>8.1</v>
      </c>
      <c r="O5" s="143">
        <v>7.866405509813423</v>
      </c>
      <c r="P5" s="143">
        <v>45.2</v>
      </c>
      <c r="Q5" s="143" t="e">
        <f>NA()</f>
        <v>#N/A</v>
      </c>
      <c r="R5" s="143">
        <v>3.935</v>
      </c>
      <c r="S5" s="143" t="e">
        <f>NA()</f>
        <v>#N/A</v>
      </c>
      <c r="T5" s="27">
        <v>196.146754</v>
      </c>
      <c r="U5" s="143" t="e">
        <f>NA()</f>
        <v>#N/A</v>
      </c>
    </row>
    <row r="6" spans="1:21" ht="12">
      <c r="A6" s="96">
        <v>1992</v>
      </c>
      <c r="B6" s="143" t="e">
        <f>NA()</f>
        <v>#N/A</v>
      </c>
      <c r="C6" s="143">
        <v>7.598</v>
      </c>
      <c r="D6" s="143">
        <v>80.423</v>
      </c>
      <c r="E6" s="143">
        <v>5.161</v>
      </c>
      <c r="F6" s="143">
        <v>35.522</v>
      </c>
      <c r="G6" s="143">
        <v>41.8</v>
      </c>
      <c r="H6" s="143">
        <v>4.3</v>
      </c>
      <c r="I6" s="143">
        <v>84.771</v>
      </c>
      <c r="J6" s="143">
        <v>0.396919067930273</v>
      </c>
      <c r="K6" s="143">
        <v>8.8</v>
      </c>
      <c r="L6" s="143">
        <v>9.4</v>
      </c>
      <c r="M6" s="143">
        <v>14.173</v>
      </c>
      <c r="N6" s="143">
        <v>8</v>
      </c>
      <c r="O6" s="143">
        <v>8.183327649637278</v>
      </c>
      <c r="P6" s="143">
        <v>44.2</v>
      </c>
      <c r="Q6" s="143" t="e">
        <f>NA()</f>
        <v>#N/A</v>
      </c>
      <c r="R6" s="143">
        <v>3.95</v>
      </c>
      <c r="S6" s="143" t="e">
        <f>NA()</f>
        <v>#N/A</v>
      </c>
      <c r="T6" s="27">
        <v>197.09606399999998</v>
      </c>
      <c r="U6" s="143" t="e">
        <f>NA()</f>
        <v>#N/A</v>
      </c>
    </row>
    <row r="7" spans="1:21" ht="12">
      <c r="A7" s="96">
        <v>1993</v>
      </c>
      <c r="B7" s="143" t="e">
        <f>NA()</f>
        <v>#N/A</v>
      </c>
      <c r="C7" s="143">
        <v>7.833</v>
      </c>
      <c r="D7" s="143">
        <v>79.6336</v>
      </c>
      <c r="E7" s="143">
        <v>5.158</v>
      </c>
      <c r="F7" s="143">
        <v>37.09</v>
      </c>
      <c r="G7" s="143">
        <v>42</v>
      </c>
      <c r="H7" s="143">
        <v>4.49</v>
      </c>
      <c r="I7" s="143">
        <v>81.106</v>
      </c>
      <c r="J7" s="143">
        <v>0.4</v>
      </c>
      <c r="K7" s="143">
        <v>8.7</v>
      </c>
      <c r="L7" s="143">
        <v>10.3</v>
      </c>
      <c r="M7" s="143">
        <v>12.15</v>
      </c>
      <c r="N7" s="143">
        <v>8</v>
      </c>
      <c r="O7" s="143">
        <v>7.934083027453331</v>
      </c>
      <c r="P7" s="143">
        <v>44.2</v>
      </c>
      <c r="Q7" s="143" t="e">
        <f>NA()</f>
        <v>#N/A</v>
      </c>
      <c r="R7" s="143">
        <v>3.93</v>
      </c>
      <c r="S7" s="143" t="e">
        <f>NA()</f>
        <v>#N/A</v>
      </c>
      <c r="T7" s="27">
        <v>208.93186799999998</v>
      </c>
      <c r="U7" s="143" t="e">
        <f>NA()</f>
        <v>#N/A</v>
      </c>
    </row>
    <row r="8" spans="1:21" ht="12">
      <c r="A8" s="96">
        <v>1994</v>
      </c>
      <c r="B8" s="143" t="e">
        <f>NA()</f>
        <v>#N/A</v>
      </c>
      <c r="C8" s="143">
        <v>8.018</v>
      </c>
      <c r="D8" s="143">
        <v>77.4887</v>
      </c>
      <c r="E8" s="143">
        <v>5.566</v>
      </c>
      <c r="F8" s="143">
        <v>38.132</v>
      </c>
      <c r="G8" s="143">
        <v>42.7</v>
      </c>
      <c r="H8" s="143">
        <v>5</v>
      </c>
      <c r="I8" s="143">
        <v>85.923</v>
      </c>
      <c r="J8" s="143">
        <v>0.4</v>
      </c>
      <c r="K8" s="143">
        <v>8.1</v>
      </c>
      <c r="L8" s="143">
        <v>10.8</v>
      </c>
      <c r="M8" s="143">
        <v>11.711</v>
      </c>
      <c r="N8" s="143">
        <v>8</v>
      </c>
      <c r="O8" s="143">
        <v>7.8771490469120735</v>
      </c>
      <c r="P8" s="143">
        <v>44.3</v>
      </c>
      <c r="Q8" s="143" t="e">
        <f>NA()</f>
        <v>#N/A</v>
      </c>
      <c r="R8" s="143">
        <v>3.96</v>
      </c>
      <c r="S8" s="143" t="e">
        <f>NA()</f>
        <v>#N/A</v>
      </c>
      <c r="T8" s="27">
        <v>218.61643899999999</v>
      </c>
      <c r="U8" s="143" t="e">
        <f>NA()</f>
        <v>#N/A</v>
      </c>
    </row>
    <row r="9" spans="1:21" ht="12">
      <c r="A9" s="96">
        <v>1995</v>
      </c>
      <c r="B9" s="143">
        <v>13.07</v>
      </c>
      <c r="C9" s="143">
        <v>8.749</v>
      </c>
      <c r="D9" s="143">
        <v>76.95039999999999</v>
      </c>
      <c r="E9" s="143">
        <v>5.671</v>
      </c>
      <c r="F9" s="143">
        <v>39.648</v>
      </c>
      <c r="G9" s="143">
        <v>41.6</v>
      </c>
      <c r="H9" s="143">
        <v>5.15</v>
      </c>
      <c r="I9" s="143">
        <v>87.147</v>
      </c>
      <c r="J9" s="143">
        <v>0.9</v>
      </c>
      <c r="K9" s="143">
        <v>8</v>
      </c>
      <c r="L9" s="143">
        <v>10.5</v>
      </c>
      <c r="M9" s="143">
        <v>11.246</v>
      </c>
      <c r="N9" s="143">
        <v>8</v>
      </c>
      <c r="O9" s="143">
        <v>8.056907157188123</v>
      </c>
      <c r="P9" s="143">
        <v>44.3</v>
      </c>
      <c r="Q9" s="143">
        <v>0.389</v>
      </c>
      <c r="R9" s="143">
        <v>3.752</v>
      </c>
      <c r="S9" s="27">
        <v>368.9883071571881</v>
      </c>
      <c r="T9" s="27">
        <v>218.99133600000002</v>
      </c>
      <c r="U9" s="27">
        <v>97.197</v>
      </c>
    </row>
    <row r="10" spans="1:21" ht="12">
      <c r="A10" s="96">
        <v>1996</v>
      </c>
      <c r="B10" s="143">
        <v>13.13</v>
      </c>
      <c r="C10" s="143">
        <v>9.341</v>
      </c>
      <c r="D10" s="143">
        <v>76.6544</v>
      </c>
      <c r="E10" s="143">
        <v>5.716</v>
      </c>
      <c r="F10" s="143">
        <v>37.716</v>
      </c>
      <c r="G10" s="143">
        <v>42.4</v>
      </c>
      <c r="H10" s="143">
        <v>5.3</v>
      </c>
      <c r="I10" s="143">
        <v>88.736</v>
      </c>
      <c r="J10" s="143">
        <v>0.9</v>
      </c>
      <c r="K10" s="143">
        <v>7.9</v>
      </c>
      <c r="L10" s="143">
        <v>12.5</v>
      </c>
      <c r="M10" s="143">
        <v>11.142</v>
      </c>
      <c r="N10" s="143">
        <v>8</v>
      </c>
      <c r="O10" s="143">
        <v>8.26538658501793</v>
      </c>
      <c r="P10" s="143">
        <v>44.2</v>
      </c>
      <c r="Q10" s="143">
        <v>0.408</v>
      </c>
      <c r="R10" s="143">
        <v>4.117</v>
      </c>
      <c r="S10" s="27">
        <v>371.9007865850179</v>
      </c>
      <c r="T10" s="27">
        <v>223.02831700000002</v>
      </c>
      <c r="U10" s="27">
        <v>94.891</v>
      </c>
    </row>
    <row r="11" spans="1:21" ht="12">
      <c r="A11" s="96">
        <v>1997</v>
      </c>
      <c r="B11" s="143">
        <v>13.28</v>
      </c>
      <c r="C11" s="143">
        <v>9.185</v>
      </c>
      <c r="D11" s="143">
        <v>76.2078</v>
      </c>
      <c r="E11" s="143">
        <v>5.825</v>
      </c>
      <c r="F11" s="143">
        <v>43.974</v>
      </c>
      <c r="G11" s="143">
        <v>42</v>
      </c>
      <c r="H11" s="143">
        <v>5.5</v>
      </c>
      <c r="I11" s="143">
        <v>90.003</v>
      </c>
      <c r="J11" s="143">
        <v>0.9</v>
      </c>
      <c r="K11" s="143">
        <v>8</v>
      </c>
      <c r="L11" s="143">
        <v>12.7</v>
      </c>
      <c r="M11" s="143">
        <v>10.442</v>
      </c>
      <c r="N11" s="143">
        <v>8</v>
      </c>
      <c r="O11" s="143">
        <v>8.457785197706704</v>
      </c>
      <c r="P11" s="143">
        <v>44.2</v>
      </c>
      <c r="Q11" s="143">
        <v>0.433</v>
      </c>
      <c r="R11" s="143">
        <v>4.248</v>
      </c>
      <c r="S11" s="27">
        <v>378.6745851977067</v>
      </c>
      <c r="T11" s="27">
        <v>233.40154</v>
      </c>
      <c r="U11" s="27">
        <v>92.9</v>
      </c>
    </row>
    <row r="12" spans="1:21" ht="12">
      <c r="A12" s="96">
        <v>1998</v>
      </c>
      <c r="B12" s="143">
        <v>13.63</v>
      </c>
      <c r="C12" s="143">
        <v>9.105</v>
      </c>
      <c r="D12" s="143">
        <v>75.702</v>
      </c>
      <c r="E12" s="143">
        <v>5.889</v>
      </c>
      <c r="F12" s="143">
        <v>43.003</v>
      </c>
      <c r="G12" s="143">
        <v>42.7</v>
      </c>
      <c r="H12" s="143">
        <v>5.7</v>
      </c>
      <c r="I12" s="143">
        <v>90.613</v>
      </c>
      <c r="J12" s="143">
        <v>0.9</v>
      </c>
      <c r="K12" s="143">
        <v>7.8</v>
      </c>
      <c r="L12" s="143">
        <v>12.9</v>
      </c>
      <c r="M12" s="143">
        <v>11.409</v>
      </c>
      <c r="N12" s="143">
        <v>7.8</v>
      </c>
      <c r="O12" s="143">
        <v>8.599206142563393</v>
      </c>
      <c r="P12" s="143">
        <v>45</v>
      </c>
      <c r="Q12" s="143">
        <v>0.458</v>
      </c>
      <c r="R12" s="143">
        <v>4.42</v>
      </c>
      <c r="S12" s="27">
        <v>380.75020614256334</v>
      </c>
      <c r="T12" s="27">
        <v>239.029822</v>
      </c>
      <c r="U12" s="27">
        <v>90.433</v>
      </c>
    </row>
    <row r="13" spans="1:21" ht="12">
      <c r="A13" s="96">
        <v>1999</v>
      </c>
      <c r="B13" s="143">
        <v>13.49</v>
      </c>
      <c r="C13" s="143">
        <v>9.127</v>
      </c>
      <c r="D13" s="143">
        <v>76.186171</v>
      </c>
      <c r="E13" s="143">
        <v>5.863</v>
      </c>
      <c r="F13" s="143">
        <v>46.142</v>
      </c>
      <c r="G13" s="143">
        <v>42.9</v>
      </c>
      <c r="H13" s="143">
        <v>5.9</v>
      </c>
      <c r="I13" s="143">
        <v>92.526</v>
      </c>
      <c r="J13" s="143">
        <v>0.9</v>
      </c>
      <c r="K13" s="143">
        <v>7.5</v>
      </c>
      <c r="L13" s="143">
        <v>12.9</v>
      </c>
      <c r="M13" s="143">
        <v>11.474</v>
      </c>
      <c r="N13" s="143">
        <v>7.6</v>
      </c>
      <c r="O13" s="143">
        <v>8.845096512320108</v>
      </c>
      <c r="P13" s="143">
        <v>45</v>
      </c>
      <c r="Q13" s="143">
        <v>0.468</v>
      </c>
      <c r="R13" s="143">
        <v>4.42</v>
      </c>
      <c r="S13" s="27">
        <v>386.3532675123201</v>
      </c>
      <c r="T13" s="143">
        <v>261.374005</v>
      </c>
      <c r="U13" s="143">
        <v>88.686</v>
      </c>
    </row>
    <row r="14" spans="1:21" ht="12">
      <c r="A14" s="96">
        <v>2000</v>
      </c>
      <c r="B14" s="143">
        <v>13.19</v>
      </c>
      <c r="C14" s="143">
        <v>9.133</v>
      </c>
      <c r="D14" s="143">
        <v>77.33771899999999</v>
      </c>
      <c r="E14" s="143">
        <v>6.064</v>
      </c>
      <c r="F14" s="143">
        <v>50.278</v>
      </c>
      <c r="G14" s="143">
        <v>45.3</v>
      </c>
      <c r="H14" s="143">
        <v>6.277346777505395</v>
      </c>
      <c r="I14" s="143">
        <v>93.956</v>
      </c>
      <c r="J14" s="143">
        <v>0.8298464039608895</v>
      </c>
      <c r="K14" s="143">
        <v>7.5</v>
      </c>
      <c r="L14" s="143">
        <v>14.215948669154756</v>
      </c>
      <c r="M14" s="143">
        <v>11.828</v>
      </c>
      <c r="N14" s="143">
        <v>7.7</v>
      </c>
      <c r="O14" s="143">
        <v>8.873652062459986</v>
      </c>
      <c r="P14" s="143">
        <v>45</v>
      </c>
      <c r="Q14" s="143">
        <v>0.476</v>
      </c>
      <c r="R14" s="143">
        <v>4.42</v>
      </c>
      <c r="S14" s="27">
        <v>397.48351291308103</v>
      </c>
      <c r="T14" s="143">
        <v>259.293568</v>
      </c>
      <c r="U14" s="143">
        <v>87.306</v>
      </c>
    </row>
    <row r="15" spans="1:21" ht="12">
      <c r="A15" s="96">
        <v>2001</v>
      </c>
      <c r="B15" s="143">
        <v>13.47</v>
      </c>
      <c r="C15" s="143">
        <v>9.031</v>
      </c>
      <c r="D15" s="143">
        <v>76.962671</v>
      </c>
      <c r="E15" s="143" t="e">
        <f>NA()</f>
        <v>#N/A</v>
      </c>
      <c r="F15" s="143" t="e">
        <f>NA()</f>
        <v>#N/A</v>
      </c>
      <c r="G15" s="143">
        <v>44.8</v>
      </c>
      <c r="H15" s="143">
        <v>6.348309183877088</v>
      </c>
      <c r="I15" s="143" t="e">
        <f>NA()</f>
        <v>#N/A</v>
      </c>
      <c r="J15" s="143">
        <v>0.9589506674941894</v>
      </c>
      <c r="K15" s="143">
        <v>7.6</v>
      </c>
      <c r="L15" s="143">
        <v>14.634083094612379</v>
      </c>
      <c r="M15" s="143" t="e">
        <f>NA()</f>
        <v>#N/A</v>
      </c>
      <c r="N15" s="143" t="e">
        <f>NA()</f>
        <v>#N/A</v>
      </c>
      <c r="O15" s="143">
        <v>9.093021826071645</v>
      </c>
      <c r="P15" s="143" t="e">
        <f>NA()</f>
        <v>#N/A</v>
      </c>
      <c r="Q15" s="143">
        <v>0.479</v>
      </c>
      <c r="R15" s="143" t="e">
        <f>NA()</f>
        <v>#N/A</v>
      </c>
      <c r="S15" s="143" t="e">
        <f>NA()</f>
        <v>#N/A</v>
      </c>
      <c r="T15" s="143" t="e">
        <f>NA()</f>
        <v>#N/A</v>
      </c>
      <c r="U15" s="143" t="e">
        <f>NA()</f>
        <v>#N/A</v>
      </c>
    </row>
    <row r="19" ht="11.25">
      <c r="R19" s="3" t="s">
        <v>190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Q47"/>
  <sheetViews>
    <sheetView workbookViewId="0" topLeftCell="A1">
      <selection activeCell="B15" sqref="B15:Q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208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268"/>
      <c r="B4" s="268" t="s">
        <v>5</v>
      </c>
      <c r="C4" s="268" t="s">
        <v>7</v>
      </c>
      <c r="D4" s="268" t="s">
        <v>8</v>
      </c>
      <c r="E4" s="268" t="s">
        <v>9</v>
      </c>
      <c r="F4" s="268" t="s">
        <v>10</v>
      </c>
      <c r="G4" s="268" t="s">
        <v>11</v>
      </c>
      <c r="H4" s="268" t="s">
        <v>12</v>
      </c>
      <c r="I4" s="268" t="s">
        <v>13</v>
      </c>
      <c r="J4" s="268" t="s">
        <v>14</v>
      </c>
      <c r="K4" s="268" t="s">
        <v>15</v>
      </c>
      <c r="L4" s="268" t="s">
        <v>16</v>
      </c>
      <c r="M4" s="268" t="s">
        <v>17</v>
      </c>
      <c r="N4" s="268" t="s">
        <v>18</v>
      </c>
      <c r="O4" s="268" t="s">
        <v>19</v>
      </c>
      <c r="P4" s="268" t="s">
        <v>20</v>
      </c>
      <c r="Q4" s="268" t="s">
        <v>21</v>
      </c>
    </row>
    <row r="5" spans="1:17" ht="11.25">
      <c r="A5" s="269">
        <v>1990</v>
      </c>
      <c r="B5" s="28">
        <f>IF('basedata_t+m'!Q25=":",NA(),'basedata_t+m'!Q25)</f>
        <v>48.209999999999994</v>
      </c>
      <c r="C5" s="28">
        <f>IF('basedata_t+m'!B25=":",NA(),'basedata_t+m'!B25)</f>
        <v>0.74</v>
      </c>
      <c r="D5" s="275">
        <v>0</v>
      </c>
      <c r="E5" s="260">
        <f>IF('basedata_t+m'!D25=":",NA(),'basedata_t+m'!D25)</f>
        <v>15.1</v>
      </c>
      <c r="F5" s="260">
        <f>IF('basedata_t+m'!E25=":",NA(),'basedata_t+m'!E25)</f>
        <v>0.83</v>
      </c>
      <c r="G5" s="260">
        <f>IF('basedata_t+m'!F25=":",NA(),'basedata_t+m'!F25)</f>
        <v>4.38</v>
      </c>
      <c r="H5" s="260">
        <f>IF('basedata_t+m'!G25=":",NA(),'basedata_t+m'!G25)</f>
        <v>9.7</v>
      </c>
      <c r="I5" s="275">
        <v>0</v>
      </c>
      <c r="J5" s="260">
        <f>IF('basedata_t+m'!I25=":",NA(),'basedata_t+m'!I25)</f>
        <v>4.57</v>
      </c>
      <c r="K5" s="275">
        <v>0</v>
      </c>
      <c r="L5" s="260">
        <f>IF('basedata_t+m'!K25=":",NA(),'basedata_t+m'!K25)</f>
        <v>1.26</v>
      </c>
      <c r="M5" s="260">
        <f>IF('basedata_t+m'!L25=":",NA(),'basedata_t+m'!L25)</f>
        <v>2.1</v>
      </c>
      <c r="N5" s="260">
        <f>IF('basedata_t+m'!M25=":",NA(),'basedata_t+m'!M25)</f>
        <v>0.67</v>
      </c>
      <c r="O5" s="260">
        <f>IF('basedata_t+m'!N25=":",NA(),'basedata_t+m'!N25)</f>
        <v>0.35</v>
      </c>
      <c r="P5" s="260">
        <f>IF('basedata_t+m'!O25=":",NA(),'basedata_t+m'!O25)</f>
        <v>2.01</v>
      </c>
      <c r="Q5" s="260">
        <f>IF('basedata_t+m'!P25=":",NA(),'basedata_t+m'!P25)</f>
        <v>6.5</v>
      </c>
    </row>
    <row r="6" spans="1:17" ht="11.25">
      <c r="A6" s="269">
        <v>1991</v>
      </c>
      <c r="B6" s="28">
        <f>IF('basedata_t+m'!Q26=":",NA(),'basedata_t+m'!Q26)</f>
        <v>48.37800000000001</v>
      </c>
      <c r="C6" s="28">
        <f>IF('basedata_t+m'!B26=":",NA(),'basedata_t+m'!B26)</f>
        <v>0.75</v>
      </c>
      <c r="D6" s="275">
        <v>0</v>
      </c>
      <c r="E6" s="260">
        <f>IF('basedata_t+m'!D26=":",NA(),'basedata_t+m'!D26)</f>
        <v>15.14</v>
      </c>
      <c r="F6" s="260">
        <f>IF('basedata_t+m'!E26=":",NA(),'basedata_t+m'!E26)</f>
        <v>0.81</v>
      </c>
      <c r="G6" s="260">
        <f>IF('basedata_t+m'!F26=":",NA(),'basedata_t+m'!F26)</f>
        <v>4.3</v>
      </c>
      <c r="H6" s="260">
        <f>IF('basedata_t+m'!G26=":",NA(),'basedata_t+m'!G26)</f>
        <v>9.4</v>
      </c>
      <c r="I6" s="275">
        <v>0</v>
      </c>
      <c r="J6" s="260">
        <f>IF('basedata_t+m'!I26=":",NA(),'basedata_t+m'!I26)</f>
        <v>5.328</v>
      </c>
      <c r="K6" s="275">
        <v>0</v>
      </c>
      <c r="L6" s="260">
        <f>IF('basedata_t+m'!K26=":",NA(),'basedata_t+m'!K26)</f>
        <v>1.29</v>
      </c>
      <c r="M6" s="260">
        <f>IF('basedata_t+m'!L26=":",NA(),'basedata_t+m'!L26)</f>
        <v>2.2</v>
      </c>
      <c r="N6" s="260">
        <f>IF('basedata_t+m'!M26=":",NA(),'basedata_t+m'!M26)</f>
        <v>0.65</v>
      </c>
      <c r="O6" s="260">
        <f>IF('basedata_t+m'!N26=":",NA(),'basedata_t+m'!N26)</f>
        <v>0.34</v>
      </c>
      <c r="P6" s="260">
        <f>IF('basedata_t+m'!O26=":",NA(),'basedata_t+m'!O26)</f>
        <v>1.93</v>
      </c>
      <c r="Q6" s="260">
        <f>IF('basedata_t+m'!P26=":",NA(),'basedata_t+m'!P26)</f>
        <v>6.24</v>
      </c>
    </row>
    <row r="7" spans="1:17" ht="11.25">
      <c r="A7" s="269">
        <v>1992</v>
      </c>
      <c r="B7" s="28">
        <f>IF('basedata_t+m'!Q27=":",NA(),'basedata_t+m'!Q27)</f>
        <v>47.785</v>
      </c>
      <c r="C7" s="28">
        <f>IF('basedata_t+m'!B27=":",NA(),'basedata_t+m'!B27)</f>
        <v>0.76</v>
      </c>
      <c r="D7" s="275">
        <v>0</v>
      </c>
      <c r="E7" s="260">
        <f>IF('basedata_t+m'!D27=":",NA(),'basedata_t+m'!D27)</f>
        <v>14.43</v>
      </c>
      <c r="F7" s="260">
        <f>IF('basedata_t+m'!E27=":",NA(),'basedata_t+m'!E27)</f>
        <v>0.79</v>
      </c>
      <c r="G7" s="260">
        <f>IF('basedata_t+m'!F27=":",NA(),'basedata_t+m'!F27)</f>
        <v>4.25</v>
      </c>
      <c r="H7" s="260">
        <f>IF('basedata_t+m'!G27=":",NA(),'basedata_t+m'!G27)</f>
        <v>9.5</v>
      </c>
      <c r="I7" s="275">
        <v>0</v>
      </c>
      <c r="J7" s="260">
        <f>IF('basedata_t+m'!I27=":",NA(),'basedata_t+m'!I27)</f>
        <v>5.4</v>
      </c>
      <c r="K7" s="275">
        <v>0</v>
      </c>
      <c r="L7" s="260">
        <f>IF('basedata_t+m'!K27=":",NA(),'basedata_t+m'!K27)</f>
        <v>1.32</v>
      </c>
      <c r="M7" s="260">
        <f>IF('basedata_t+m'!L27=":",NA(),'basedata_t+m'!L27)</f>
        <v>2.3</v>
      </c>
      <c r="N7" s="260">
        <f>IF('basedata_t+m'!M27=":",NA(),'basedata_t+m'!M27)</f>
        <v>0.63</v>
      </c>
      <c r="O7" s="260">
        <f>IF('basedata_t+m'!N27=":",NA(),'basedata_t+m'!N27)</f>
        <v>0.345</v>
      </c>
      <c r="P7" s="260">
        <f>IF('basedata_t+m'!O27=":",NA(),'basedata_t+m'!O27)</f>
        <v>1.91</v>
      </c>
      <c r="Q7" s="260">
        <f>IF('basedata_t+m'!P27=":",NA(),'basedata_t+m'!P27)</f>
        <v>6.15</v>
      </c>
    </row>
    <row r="8" spans="1:17" ht="11.25">
      <c r="A8" s="269">
        <v>1993</v>
      </c>
      <c r="B8" s="28">
        <f>IF('basedata_t+m'!Q28=":",NA(),'basedata_t+m'!Q28)</f>
        <v>47.977</v>
      </c>
      <c r="C8" s="28">
        <f>IF('basedata_t+m'!B28=":",NA(),'basedata_t+m'!B28)</f>
        <v>0.77</v>
      </c>
      <c r="D8" s="275">
        <v>0</v>
      </c>
      <c r="E8" s="260">
        <f>IF('basedata_t+m'!D28=":",NA(),'basedata_t+m'!D28)</f>
        <v>14.62</v>
      </c>
      <c r="F8" s="260">
        <f>IF('basedata_t+m'!E28=":",NA(),'basedata_t+m'!E28)</f>
        <v>0.77</v>
      </c>
      <c r="G8" s="260">
        <f>IF('basedata_t+m'!F28=":",NA(),'basedata_t+m'!F28)</f>
        <v>4.2</v>
      </c>
      <c r="H8" s="260">
        <f>IF('basedata_t+m'!G28=":",NA(),'basedata_t+m'!G28)</f>
        <v>9.3</v>
      </c>
      <c r="I8" s="275">
        <v>0</v>
      </c>
      <c r="J8" s="260">
        <f>IF('basedata_t+m'!I28=":",NA(),'basedata_t+m'!I28)</f>
        <v>5.5</v>
      </c>
      <c r="K8" s="275">
        <v>0</v>
      </c>
      <c r="L8" s="260">
        <f>IF('basedata_t+m'!K28=":",NA(),'basedata_t+m'!K28)</f>
        <v>1.34</v>
      </c>
      <c r="M8" s="260">
        <f>IF('basedata_t+m'!L28=":",NA(),'basedata_t+m'!L28)</f>
        <v>2.4</v>
      </c>
      <c r="N8" s="260">
        <f>IF('basedata_t+m'!M28=":",NA(),'basedata_t+m'!M28)</f>
        <v>0.61</v>
      </c>
      <c r="O8" s="260">
        <f>IF('basedata_t+m'!N28=":",NA(),'basedata_t+m'!N28)</f>
        <v>0.357</v>
      </c>
      <c r="P8" s="260">
        <f>IF('basedata_t+m'!O28=":",NA(),'basedata_t+m'!O28)</f>
        <v>1.91</v>
      </c>
      <c r="Q8" s="260">
        <f>IF('basedata_t+m'!P28=":",NA(),'basedata_t+m'!P28)</f>
        <v>6.2</v>
      </c>
    </row>
    <row r="9" spans="1:17" ht="11.25">
      <c r="A9" s="269">
        <v>1994</v>
      </c>
      <c r="B9" s="28">
        <f>IF('basedata_t+m'!Q29=":",NA(),'basedata_t+m'!Q29)</f>
        <v>47.71</v>
      </c>
      <c r="C9" s="28">
        <f>IF('basedata_t+m'!B29=":",NA(),'basedata_t+m'!B29)</f>
        <v>0.79</v>
      </c>
      <c r="D9" s="275">
        <v>0</v>
      </c>
      <c r="E9" s="260">
        <f>IF('basedata_t+m'!D29=":",NA(),'basedata_t+m'!D29)</f>
        <v>14.47</v>
      </c>
      <c r="F9" s="260">
        <f>IF('basedata_t+m'!E29=":",NA(),'basedata_t+m'!E29)</f>
        <v>0.72</v>
      </c>
      <c r="G9" s="260">
        <f>IF('basedata_t+m'!F29=":",NA(),'basedata_t+m'!F29)</f>
        <v>4.15</v>
      </c>
      <c r="H9" s="260">
        <f>IF('basedata_t+m'!G29=":",NA(),'basedata_t+m'!G29)</f>
        <v>9.3</v>
      </c>
      <c r="I9" s="275">
        <v>0</v>
      </c>
      <c r="J9" s="260">
        <f>IF('basedata_t+m'!I29=":",NA(),'basedata_t+m'!I29)</f>
        <v>5.1</v>
      </c>
      <c r="K9" s="275">
        <v>0</v>
      </c>
      <c r="L9" s="260">
        <f>IF('basedata_t+m'!K29=":",NA(),'basedata_t+m'!K29)</f>
        <v>1.39</v>
      </c>
      <c r="M9" s="260">
        <f>IF('basedata_t+m'!L29=":",NA(),'basedata_t+m'!L29)</f>
        <v>2.45</v>
      </c>
      <c r="N9" s="260">
        <f>IF('basedata_t+m'!M29=":",NA(),'basedata_t+m'!M29)</f>
        <v>0.58</v>
      </c>
      <c r="O9" s="260">
        <f>IF('basedata_t+m'!N29=":",NA(),'basedata_t+m'!N29)</f>
        <v>0.37</v>
      </c>
      <c r="P9" s="260">
        <f>IF('basedata_t+m'!O29=":",NA(),'basedata_t+m'!O29)</f>
        <v>1.89</v>
      </c>
      <c r="Q9" s="260">
        <f>IF('basedata_t+m'!P29=":",NA(),'basedata_t+m'!P29)</f>
        <v>6.5</v>
      </c>
    </row>
    <row r="10" spans="1:17" ht="11.25">
      <c r="A10" s="269">
        <v>1995</v>
      </c>
      <c r="B10" s="28">
        <f>IF('basedata_t+m'!Q30=":",NA(),'basedata_t+m'!Q30)</f>
        <v>47.34</v>
      </c>
      <c r="C10" s="28">
        <f>IF('basedata_t+m'!B30=":",NA(),'basedata_t+m'!B30)</f>
        <v>0.8</v>
      </c>
      <c r="D10" s="275">
        <v>0</v>
      </c>
      <c r="E10" s="260">
        <f>IF('basedata_t+m'!D30=":",NA(),'basedata_t+m'!D30)</f>
        <v>14.43</v>
      </c>
      <c r="F10" s="260">
        <f>IF('basedata_t+m'!E30=":",NA(),'basedata_t+m'!E30)</f>
        <v>0.74</v>
      </c>
      <c r="G10" s="260">
        <f>IF('basedata_t+m'!F30=":",NA(),'basedata_t+m'!F30)</f>
        <v>4.25</v>
      </c>
      <c r="H10" s="260">
        <f>IF('basedata_t+m'!G30=":",NA(),'basedata_t+m'!G30)</f>
        <v>8.3</v>
      </c>
      <c r="I10" s="275">
        <v>0</v>
      </c>
      <c r="J10" s="260">
        <f>IF('basedata_t+m'!I30=":",NA(),'basedata_t+m'!I30)</f>
        <v>5.22</v>
      </c>
      <c r="K10" s="275">
        <v>0</v>
      </c>
      <c r="L10" s="260">
        <f>IF('basedata_t+m'!K30=":",NA(),'basedata_t+m'!K30)</f>
        <v>1.38</v>
      </c>
      <c r="M10" s="260">
        <f>IF('basedata_t+m'!L30=":",NA(),'basedata_t+m'!L30)</f>
        <v>2.56</v>
      </c>
      <c r="N10" s="260">
        <f>IF('basedata_t+m'!M30=":",NA(),'basedata_t+m'!M30)</f>
        <v>0.53</v>
      </c>
      <c r="O10" s="260">
        <f>IF('basedata_t+m'!N30=":",NA(),'basedata_t+m'!N30)</f>
        <v>0.39</v>
      </c>
      <c r="P10" s="260">
        <f>IF('basedata_t+m'!O30=":",NA(),'basedata_t+m'!O30)</f>
        <v>1.94</v>
      </c>
      <c r="Q10" s="260">
        <f>IF('basedata_t+m'!P30=":",NA(),'basedata_t+m'!P30)</f>
        <v>6.8</v>
      </c>
    </row>
    <row r="11" spans="1:17" ht="11.25">
      <c r="A11" s="269">
        <v>1996</v>
      </c>
      <c r="B11" s="28">
        <f>IF('basedata_t+m'!Q31=":",NA(),'basedata_t+m'!Q31)</f>
        <v>48.23999999999999</v>
      </c>
      <c r="C11" s="28">
        <f>IF('basedata_t+m'!B31=":",NA(),'basedata_t+m'!B31)</f>
        <v>0.81</v>
      </c>
      <c r="D11" s="275">
        <v>0</v>
      </c>
      <c r="E11" s="260">
        <f>IF('basedata_t+m'!D31=":",NA(),'basedata_t+m'!D31)</f>
        <v>14.47</v>
      </c>
      <c r="F11" s="260">
        <f>IF('basedata_t+m'!E31=":",NA(),'basedata_t+m'!E31)</f>
        <v>0.74</v>
      </c>
      <c r="G11" s="260">
        <f>IF('basedata_t+m'!F31=":",NA(),'basedata_t+m'!F31)</f>
        <v>4.49</v>
      </c>
      <c r="H11" s="260">
        <f>IF('basedata_t+m'!G31=":",NA(),'basedata_t+m'!G31)</f>
        <v>8.8</v>
      </c>
      <c r="I11" s="275">
        <v>0</v>
      </c>
      <c r="J11" s="260">
        <f>IF('basedata_t+m'!I31=":",NA(),'basedata_t+m'!I31)</f>
        <v>5.32</v>
      </c>
      <c r="K11" s="275">
        <v>0</v>
      </c>
      <c r="L11" s="260">
        <f>IF('basedata_t+m'!K31=":",NA(),'basedata_t+m'!K31)</f>
        <v>1.39</v>
      </c>
      <c r="M11" s="260">
        <f>IF('basedata_t+m'!L31=":",NA(),'basedata_t+m'!L31)</f>
        <v>2.65</v>
      </c>
      <c r="N11" s="260">
        <f>IF('basedata_t+m'!M31=":",NA(),'basedata_t+m'!M31)</f>
        <v>0.54</v>
      </c>
      <c r="O11" s="260">
        <f>IF('basedata_t+m'!N31=":",NA(),'basedata_t+m'!N31)</f>
        <v>0.4</v>
      </c>
      <c r="P11" s="260">
        <f>IF('basedata_t+m'!O31=":",NA(),'basedata_t+m'!O31)</f>
        <v>1.98</v>
      </c>
      <c r="Q11" s="260">
        <f>IF('basedata_t+m'!P31=":",NA(),'basedata_t+m'!P31)</f>
        <v>6.65</v>
      </c>
    </row>
    <row r="12" spans="1:17" ht="11.25">
      <c r="A12" s="269">
        <v>1997</v>
      </c>
      <c r="B12" s="28">
        <f>IF('basedata_t+m'!Q32=":",NA(),'basedata_t+m'!Q32)</f>
        <v>48.927</v>
      </c>
      <c r="C12" s="28">
        <f>IF('basedata_t+m'!B32=":",NA(),'basedata_t+m'!B32)</f>
        <v>0.82</v>
      </c>
      <c r="D12" s="275">
        <v>0</v>
      </c>
      <c r="E12" s="260">
        <f>IF('basedata_t+m'!D32=":",NA(),'basedata_t+m'!D32)</f>
        <v>14.5</v>
      </c>
      <c r="F12" s="260">
        <f>IF('basedata_t+m'!E32=":",NA(),'basedata_t+m'!E32)</f>
        <v>0.75</v>
      </c>
      <c r="G12" s="260">
        <f>IF('basedata_t+m'!F32=":",NA(),'basedata_t+m'!F32)</f>
        <v>4.57</v>
      </c>
      <c r="H12" s="260">
        <f>IF('basedata_t+m'!G32=":",NA(),'basedata_t+m'!G32)</f>
        <v>9</v>
      </c>
      <c r="I12" s="275">
        <v>0</v>
      </c>
      <c r="J12" s="260">
        <f>IF('basedata_t+m'!I32=":",NA(),'basedata_t+m'!I32)</f>
        <v>5.3</v>
      </c>
      <c r="K12" s="275">
        <v>0</v>
      </c>
      <c r="L12" s="260">
        <f>IF('basedata_t+m'!K32=":",NA(),'basedata_t+m'!K32)</f>
        <v>1.4</v>
      </c>
      <c r="M12" s="260">
        <f>IF('basedata_t+m'!L32=":",NA(),'basedata_t+m'!L32)</f>
        <v>2.67</v>
      </c>
      <c r="N12" s="260">
        <f>IF('basedata_t+m'!M32=":",NA(),'basedata_t+m'!M32)</f>
        <v>0.5</v>
      </c>
      <c r="O12" s="260">
        <f>IF('basedata_t+m'!N32=":",NA(),'basedata_t+m'!N32)</f>
        <v>0.417</v>
      </c>
      <c r="P12" s="260">
        <f>IF('basedata_t+m'!O32=":",NA(),'basedata_t+m'!O32)</f>
        <v>2</v>
      </c>
      <c r="Q12" s="260">
        <f>IF('basedata_t+m'!P32=":",NA(),'basedata_t+m'!P32)</f>
        <v>7</v>
      </c>
    </row>
    <row r="13" spans="1:17" ht="11.25">
      <c r="A13" s="269">
        <v>1998</v>
      </c>
      <c r="B13" s="28">
        <f>IF('basedata_t+m'!Q33=":",NA(),'basedata_t+m'!Q33)</f>
        <v>49.83599999999999</v>
      </c>
      <c r="C13" s="28">
        <f>IF('basedata_t+m'!B33=":",NA(),'basedata_t+m'!B33)</f>
        <v>0.82</v>
      </c>
      <c r="D13" s="275">
        <v>0</v>
      </c>
      <c r="E13" s="260">
        <f>IF('basedata_t+m'!D33=":",NA(),'basedata_t+m'!D33)</f>
        <v>14.4</v>
      </c>
      <c r="F13" s="260">
        <f>IF('basedata_t+m'!E33=":",NA(),'basedata_t+m'!E33)</f>
        <v>0.8</v>
      </c>
      <c r="G13" s="260">
        <f>IF('basedata_t+m'!F33=":",NA(),'basedata_t+m'!F33)</f>
        <v>4.84</v>
      </c>
      <c r="H13" s="260">
        <f>IF('basedata_t+m'!G33=":",NA(),'basedata_t+m'!G33)</f>
        <v>9.3</v>
      </c>
      <c r="I13" s="275">
        <v>0</v>
      </c>
      <c r="J13" s="260">
        <f>IF('basedata_t+m'!I33=":",NA(),'basedata_t+m'!I33)</f>
        <v>5.3</v>
      </c>
      <c r="K13" s="275">
        <v>0</v>
      </c>
      <c r="L13" s="260">
        <f>IF('basedata_t+m'!K33=":",NA(),'basedata_t+m'!K33)</f>
        <v>1.4</v>
      </c>
      <c r="M13" s="260">
        <f>IF('basedata_t+m'!L33=":",NA(),'basedata_t+m'!L33)</f>
        <v>2.68</v>
      </c>
      <c r="N13" s="260">
        <f>IF('basedata_t+m'!M33=":",NA(),'basedata_t+m'!M33)</f>
        <v>0.55</v>
      </c>
      <c r="O13" s="260">
        <f>IF('basedata_t+m'!N33=":",NA(),'basedata_t+m'!N33)</f>
        <v>0.439</v>
      </c>
      <c r="P13" s="260">
        <f>IF('basedata_t+m'!O33=":",NA(),'basedata_t+m'!O33)</f>
        <v>2.01</v>
      </c>
      <c r="Q13" s="260">
        <f>IF('basedata_t+m'!P33=":",NA(),'basedata_t+m'!P33)</f>
        <v>7.297</v>
      </c>
    </row>
    <row r="14" spans="1:17" ht="11.25">
      <c r="A14" s="269">
        <v>1999</v>
      </c>
      <c r="B14" s="28">
        <f>IF('basedata_t+m'!Q34=":",NA(),'basedata_t+m'!Q34)</f>
        <v>51.13999999999999</v>
      </c>
      <c r="C14" s="28">
        <f>IF('basedata_t+m'!B34=":",NA(),'basedata_t+m'!B34)</f>
        <v>0.82</v>
      </c>
      <c r="D14" s="275">
        <v>0</v>
      </c>
      <c r="E14" s="260">
        <f>IF('basedata_t+m'!D34=":",NA(),'basedata_t+m'!D34)</f>
        <v>14.5</v>
      </c>
      <c r="F14" s="260">
        <f>IF('basedata_t+m'!E34=":",NA(),'basedata_t+m'!E34)</f>
        <v>0.81</v>
      </c>
      <c r="G14" s="260">
        <f>IF('basedata_t+m'!F34=":",NA(),'basedata_t+m'!F34)</f>
        <v>5.06</v>
      </c>
      <c r="H14" s="260">
        <f>IF('basedata_t+m'!G34=":",NA(),'basedata_t+m'!G34)</f>
        <v>9.7</v>
      </c>
      <c r="I14" s="275">
        <v>0</v>
      </c>
      <c r="J14" s="260">
        <f>IF('basedata_t+m'!I34=":",NA(),'basedata_t+m'!I34)</f>
        <v>5.2</v>
      </c>
      <c r="K14" s="275">
        <v>0</v>
      </c>
      <c r="L14" s="260">
        <f>IF('basedata_t+m'!K34=":",NA(),'basedata_t+m'!K34)</f>
        <v>1.42</v>
      </c>
      <c r="M14" s="260">
        <f>IF('basedata_t+m'!L34=":",NA(),'basedata_t+m'!L34)</f>
        <v>2.73</v>
      </c>
      <c r="N14" s="260">
        <f>IF('basedata_t+m'!M34=":",NA(),'basedata_t+m'!M34)</f>
        <v>0.56</v>
      </c>
      <c r="O14" s="260">
        <f>IF('basedata_t+m'!N34=":",NA(),'basedata_t+m'!N34)</f>
        <v>0.48</v>
      </c>
      <c r="P14" s="260">
        <f>IF('basedata_t+m'!O34=":",NA(),'basedata_t+m'!O34)</f>
        <v>2.06</v>
      </c>
      <c r="Q14" s="260">
        <f>IF('basedata_t+m'!P34=":",NA(),'basedata_t+m'!P34)</f>
        <v>7.8</v>
      </c>
    </row>
    <row r="15" spans="1:17" ht="11.25">
      <c r="A15" s="269">
        <v>2000</v>
      </c>
      <c r="B15" s="28">
        <f>IF('basedata_t+m'!Q35=":",NA(),'basedata_t+m'!Q35)</f>
        <v>53.099999999999994</v>
      </c>
      <c r="C15" s="28">
        <f>IF('basedata_t+m'!B35=":",NA(),'basedata_t+m'!B35)</f>
        <v>0.87</v>
      </c>
      <c r="D15" s="275">
        <v>0</v>
      </c>
      <c r="E15" s="260">
        <f>IF('basedata_t+m'!D35=":",NA(),'basedata_t+m'!D35)</f>
        <v>14.6</v>
      </c>
      <c r="F15" s="260">
        <f>IF('basedata_t+m'!E35=":",NA(),'basedata_t+m'!E35)</f>
        <v>1.19</v>
      </c>
      <c r="G15" s="260">
        <f>IF('basedata_t+m'!F35=":",NA(),'basedata_t+m'!F35)</f>
        <v>5.23</v>
      </c>
      <c r="H15" s="260">
        <f>IF('basedata_t+m'!G35=":",NA(),'basedata_t+m'!G35)</f>
        <v>10.1</v>
      </c>
      <c r="I15" s="275">
        <v>0</v>
      </c>
      <c r="J15" s="260">
        <f>IF('basedata_t+m'!I35=":",NA(),'basedata_t+m'!I35)</f>
        <v>5.4</v>
      </c>
      <c r="K15" s="275">
        <v>0</v>
      </c>
      <c r="L15" s="260">
        <f>IF('basedata_t+m'!K35=":",NA(),'basedata_t+m'!K35)</f>
        <v>1.43</v>
      </c>
      <c r="M15" s="260">
        <f>IF('basedata_t+m'!L35=":",NA(),'basedata_t+m'!L35)</f>
        <v>2.76</v>
      </c>
      <c r="N15" s="260">
        <f>IF('basedata_t+m'!M35=":",NA(),'basedata_t+m'!M35)</f>
        <v>0.58</v>
      </c>
      <c r="O15" s="260">
        <f>IF('basedata_t+m'!N35=":",NA(),'basedata_t+m'!N35)</f>
        <v>0.5</v>
      </c>
      <c r="P15" s="260">
        <f>IF('basedata_t+m'!O35=":",NA(),'basedata_t+m'!O35)</f>
        <v>2.14</v>
      </c>
      <c r="Q15" s="260">
        <f>IF('basedata_t+m'!P35=":",NA(),'basedata_t+m'!P35)</f>
        <v>8.3</v>
      </c>
    </row>
    <row r="17" spans="1:4" ht="11.25">
      <c r="A17" s="30" t="s">
        <v>51</v>
      </c>
      <c r="B17" s="30" t="s">
        <v>207</v>
      </c>
      <c r="C17" s="21"/>
      <c r="D17" s="21"/>
    </row>
    <row r="18" ht="11.25">
      <c r="A18" s="6" t="s">
        <v>213</v>
      </c>
    </row>
    <row r="26" spans="1:17" ht="11.25">
      <c r="A26" s="5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5:17" ht="11.25"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ht="11.25">
      <c r="B29" s="30"/>
    </row>
    <row r="34" ht="11.25">
      <c r="A34" s="2" t="s">
        <v>105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>
        <f>+B5/'[4]manip_POP_EU'!B5*1000000</f>
        <v>132.2420416130402</v>
      </c>
      <c r="C38" s="13">
        <f>+C5/'[4]manip_POP_EU'!C5*1000000</f>
        <v>74.24202901458756</v>
      </c>
      <c r="D38" s="13">
        <f>+D5/'[4]manip_POP_EU'!D5*1000000</f>
        <v>0</v>
      </c>
      <c r="E38" s="13">
        <f>+E5/'[4]manip_POP_EU'!E5*1000000</f>
        <v>190.09731471806427</v>
      </c>
      <c r="F38" s="13">
        <f>+F5/'[4]manip_POP_EU'!F5*1000000</f>
        <v>81.68487353606929</v>
      </c>
      <c r="G38" s="13">
        <f>+G5/'[4]manip_POP_EU'!G5*1000000</f>
        <v>112.78195488721805</v>
      </c>
      <c r="H38" s="13">
        <f>+H5/'[4]manip_POP_EU'!H5*1000000</f>
        <v>170.9703005199612</v>
      </c>
      <c r="I38" s="13">
        <f>+I5/'[4]manip_POP_EU'!I5*1000000</f>
        <v>0</v>
      </c>
      <c r="J38" s="13">
        <f>+J5/'[4]manip_POP_EU'!J5*1000000</f>
        <v>80.57264761367443</v>
      </c>
      <c r="K38" s="13">
        <f>+K5/'[4]manip_POP_EU'!K5*1000000</f>
        <v>0</v>
      </c>
      <c r="L38" s="13">
        <f>+L5/'[4]manip_POP_EU'!L5*1000000</f>
        <v>84.26966292134831</v>
      </c>
      <c r="M38" s="13">
        <f>+M5/'[4]manip_POP_EU'!M5*1000000</f>
        <v>271.8200292530127</v>
      </c>
      <c r="N38" s="13">
        <f>+N5/'[4]manip_POP_EU'!N5*1000000</f>
        <v>67.70412287793047</v>
      </c>
      <c r="O38" s="13">
        <f>+O5/'[4]manip_POP_EU'!O5*1000000</f>
        <v>70.19655034095467</v>
      </c>
      <c r="P38" s="13">
        <f>+P5/'[4]manip_POP_EU'!P5*1000000</f>
        <v>234.84051875219063</v>
      </c>
      <c r="Q38" s="13">
        <f>+Q5/'[4]manip_POP_EU'!Q5*1000000</f>
        <v>112.92368096454196</v>
      </c>
    </row>
    <row r="39" spans="1:17" ht="11.25">
      <c r="A39" s="53">
        <v>1991</v>
      </c>
      <c r="B39" s="13">
        <f>+B6/'[4]manip_POP_EU'!B6*1000000</f>
        <v>132.1149562334047</v>
      </c>
      <c r="C39" s="13">
        <f>+C6/'[4]manip_POP_EU'!C6*1000000</f>
        <v>74.9662651806687</v>
      </c>
      <c r="D39" s="13">
        <f>+D6/'[4]manip_POP_EU'!D6*1000000</f>
        <v>0</v>
      </c>
      <c r="E39" s="13">
        <f>+E6/'[4]manip_POP_EU'!E6*1000000</f>
        <v>189.21688704476716</v>
      </c>
      <c r="F39" s="13">
        <f>+F6/'[4]manip_POP_EU'!F6*1000000</f>
        <v>79.04752610520153</v>
      </c>
      <c r="G39" s="13">
        <f>+G6/'[4]manip_POP_EU'!G6*1000000</f>
        <v>110.49439819097543</v>
      </c>
      <c r="H39" s="13">
        <f>+H6/'[4]manip_POP_EU'!H6*1000000</f>
        <v>164.9774033609758</v>
      </c>
      <c r="I39" s="13">
        <f>+I6/'[4]manip_POP_EU'!I6*1000000</f>
        <v>0</v>
      </c>
      <c r="J39" s="13">
        <f>+J6/'[4]manip_POP_EU'!J6*1000000</f>
        <v>93.88380821483322</v>
      </c>
      <c r="K39" s="13">
        <f>+K6/'[4]manip_POP_EU'!K6*1000000</f>
        <v>0</v>
      </c>
      <c r="L39" s="13">
        <f>+L6/'[4]manip_POP_EU'!L6*1000000</f>
        <v>85.6005308560053</v>
      </c>
      <c r="M39" s="13">
        <f>+M6/'[4]manip_POP_EU'!M6*1000000</f>
        <v>281.11782670363795</v>
      </c>
      <c r="N39" s="13">
        <f>+N6/'[4]manip_POP_EU'!N6*1000000</f>
        <v>65.86280271557402</v>
      </c>
      <c r="O39" s="13">
        <f>+O6/'[4]manip_POP_EU'!O6*1000000</f>
        <v>67.810131631432</v>
      </c>
      <c r="P39" s="13">
        <f>+P6/'[4]manip_POP_EU'!P6*1000000</f>
        <v>223.96546522152852</v>
      </c>
      <c r="Q39" s="13">
        <f>+Q6/'[4]manip_POP_EU'!Q6*1000000</f>
        <v>107.94353722668143</v>
      </c>
    </row>
    <row r="40" spans="1:17" ht="11.25">
      <c r="A40" s="53">
        <v>1992</v>
      </c>
      <c r="B40" s="13">
        <f>+B7/'[4]manip_POP_EU'!B7*1000000</f>
        <v>129.89208776828892</v>
      </c>
      <c r="C40" s="13">
        <f>+C7/'[4]manip_POP_EU'!C7*1000000</f>
        <v>75.65953210552514</v>
      </c>
      <c r="D40" s="13">
        <f>+D7/'[4]manip_POP_EU'!D7*1000000</f>
        <v>0</v>
      </c>
      <c r="E40" s="13">
        <f>+E7/'[4]manip_POP_EU'!E7*1000000</f>
        <v>178.97896408017462</v>
      </c>
      <c r="F40" s="13">
        <f>+F7/'[4]manip_POP_EU'!F7*1000000</f>
        <v>76.53555512497579</v>
      </c>
      <c r="G40" s="13">
        <f>+G7/'[4]manip_POP_EU'!G7*1000000</f>
        <v>108.95759626724094</v>
      </c>
      <c r="H40" s="13">
        <f>+H7/'[4]manip_POP_EU'!H7*1000000</f>
        <v>165.96118604598348</v>
      </c>
      <c r="I40" s="13">
        <f>+I7/'[4]manip_POP_EU'!I7*1000000</f>
        <v>0</v>
      </c>
      <c r="J40" s="13">
        <f>+J7/'[4]manip_POP_EU'!J7*1000000</f>
        <v>94.97177227879492</v>
      </c>
      <c r="K40" s="13">
        <f>+K7/'[4]manip_POP_EU'!K7*1000000</f>
        <v>0</v>
      </c>
      <c r="L40" s="13">
        <f>+L7/'[4]manip_POP_EU'!L7*1000000</f>
        <v>86.96797997101068</v>
      </c>
      <c r="M40" s="13">
        <f>+M7/'[4]manip_POP_EU'!M7*1000000</f>
        <v>290.7197209090679</v>
      </c>
      <c r="N40" s="13">
        <f>+N7/'[4]manip_POP_EU'!N7*1000000</f>
        <v>63.84919428397689</v>
      </c>
      <c r="O40" s="13">
        <f>+O7/'[4]manip_POP_EU'!O7*1000000</f>
        <v>68.42522808409362</v>
      </c>
      <c r="P40" s="13">
        <f>+P7/'[4]manip_POP_EU'!P7*1000000</f>
        <v>220.35071527457313</v>
      </c>
      <c r="Q40" s="13">
        <f>+Q7/'[4]manip_POP_EU'!Q7*1000000</f>
        <v>106.02351480881289</v>
      </c>
    </row>
    <row r="41" spans="1:17" ht="11.25">
      <c r="A41" s="53">
        <v>1993</v>
      </c>
      <c r="B41" s="13">
        <f>+B8/'[4]manip_POP_EU'!B8*1000000</f>
        <v>129.84492872155644</v>
      </c>
      <c r="C41" s="13">
        <f>+C8/'[4]manip_POP_EU'!C8*1000000</f>
        <v>76.35480192374436</v>
      </c>
      <c r="D41" s="13">
        <f>+D8/'[4]manip_POP_EU'!D8*1000000</f>
        <v>0</v>
      </c>
      <c r="E41" s="13">
        <f>+E8/'[4]manip_POP_EU'!E8*1000000</f>
        <v>180.1468776184139</v>
      </c>
      <c r="F41" s="13">
        <f>+F8/'[4]manip_POP_EU'!F8*1000000</f>
        <v>74.19541337444595</v>
      </c>
      <c r="G41" s="13">
        <f>+G8/'[4]manip_POP_EU'!G8*1000000</f>
        <v>107.46360310109256</v>
      </c>
      <c r="H41" s="13">
        <f>+H8/'[4]manip_POP_EU'!H8*1000000</f>
        <v>161.82496802651843</v>
      </c>
      <c r="I41" s="13">
        <f>+I8/'[4]manip_POP_EU'!I8*1000000</f>
        <v>0</v>
      </c>
      <c r="J41" s="13">
        <f>+J8/'[4]manip_POP_EU'!J8*1000000</f>
        <v>96.40835071605112</v>
      </c>
      <c r="K41" s="13">
        <f>+K8/'[4]manip_POP_EU'!K8*1000000</f>
        <v>0</v>
      </c>
      <c r="L41" s="13">
        <f>+L8/'[4]manip_POP_EU'!L8*1000000</f>
        <v>87.7015007428448</v>
      </c>
      <c r="M41" s="13">
        <f>+M8/'[4]manip_POP_EU'!M8*1000000</f>
        <v>300.43187081429556</v>
      </c>
      <c r="N41" s="13">
        <f>+N8/'[4]manip_POP_EU'!N8*1000000</f>
        <v>61.73464224268799</v>
      </c>
      <c r="O41" s="13">
        <f>+O8/'[4]manip_POP_EU'!O8*1000000</f>
        <v>70.46979865771812</v>
      </c>
      <c r="P41" s="13">
        <f>+P8/'[4]manip_POP_EU'!P8*1000000</f>
        <v>219.0718693368201</v>
      </c>
      <c r="Q41" s="13">
        <f>+Q8/'[4]manip_POP_EU'!Q8*1000000</f>
        <v>106.54568575896616</v>
      </c>
    </row>
    <row r="42" spans="1:17" ht="11.25">
      <c r="A42" s="53">
        <v>1994</v>
      </c>
      <c r="B42" s="13">
        <f>+B9/'[4]manip_POP_EU'!B9*1000000</f>
        <v>128.68973858881978</v>
      </c>
      <c r="C42" s="13">
        <f>+C9/'[4]manip_POP_EU'!C9*1000000</f>
        <v>78.09719640950611</v>
      </c>
      <c r="D42" s="13">
        <f>+D9/'[4]manip_POP_EU'!D9*1000000</f>
        <v>0</v>
      </c>
      <c r="E42" s="13">
        <f>+E9/'[4]manip_POP_EU'!E9*1000000</f>
        <v>177.51116345257373</v>
      </c>
      <c r="F42" s="13">
        <f>+F9/'[4]manip_POP_EU'!F9*1000000</f>
        <v>69.0581239209668</v>
      </c>
      <c r="G42" s="13">
        <f>+G9/'[4]manip_POP_EU'!G9*1000000</f>
        <v>106.02151087039829</v>
      </c>
      <c r="H42" s="13">
        <f>+H9/'[4]manip_POP_EU'!H9*1000000</f>
        <v>161.28696593203057</v>
      </c>
      <c r="I42" s="13">
        <f>+I9/'[4]manip_POP_EU'!I9*1000000</f>
        <v>0</v>
      </c>
      <c r="J42" s="13">
        <f>+J9/'[4]manip_POP_EU'!J9*1000000</f>
        <v>89.28571428571429</v>
      </c>
      <c r="K42" s="13">
        <f>+K9/'[4]manip_POP_EU'!K9*1000000</f>
        <v>0</v>
      </c>
      <c r="L42" s="13">
        <f>+L9/'[4]manip_POP_EU'!L9*1000000</f>
        <v>90.37047343075572</v>
      </c>
      <c r="M42" s="13">
        <f>+M9/'[4]manip_POP_EU'!M9*1000000</f>
        <v>305.20087200249145</v>
      </c>
      <c r="N42" s="13">
        <f>+N9/'[4]manip_POP_EU'!N9*1000000</f>
        <v>58.57402544940416</v>
      </c>
      <c r="O42" s="13">
        <f>+O9/'[4]manip_POP_EU'!O9*1000000</f>
        <v>72.70583611711535</v>
      </c>
      <c r="P42" s="13">
        <f>+P9/'[4]manip_POP_EU'!P9*1000000</f>
        <v>215.2447982507089</v>
      </c>
      <c r="Q42" s="13">
        <f>+Q9/'[4]manip_POP_EU'!Q9*1000000</f>
        <v>111.31089990581386</v>
      </c>
    </row>
    <row r="43" spans="1:17" ht="11.25">
      <c r="A43" s="53">
        <v>1995</v>
      </c>
      <c r="B43" s="13">
        <f>+B10/'[4]manip_POP_EU'!B10*1000000</f>
        <v>127.35621781625787</v>
      </c>
      <c r="C43" s="13">
        <f>+C10/'[4]manip_POP_EU'!C10*1000000</f>
        <v>78.92036934732856</v>
      </c>
      <c r="D43" s="13">
        <f>+D10/'[4]manip_POP_EU'!D10*1000000</f>
        <v>0</v>
      </c>
      <c r="E43" s="13">
        <f>+E10/'[4]manip_POP_EU'!E10*1000000</f>
        <v>176.7472624384508</v>
      </c>
      <c r="F43" s="13">
        <f>+F10/'[4]manip_POP_EU'!F10*1000000</f>
        <v>70.7592273857334</v>
      </c>
      <c r="G43" s="13">
        <f>+G10/'[4]manip_POP_EU'!G10*1000000</f>
        <v>108.39071665391481</v>
      </c>
      <c r="H43" s="13">
        <f>+H10/'[4]manip_POP_EU'!H10*1000000</f>
        <v>143.48938524306757</v>
      </c>
      <c r="I43" s="13">
        <f>+I10/'[4]manip_POP_EU'!I10*1000000</f>
        <v>0</v>
      </c>
      <c r="J43" s="13">
        <f>+J10/'[4]manip_POP_EU'!J10*1000000</f>
        <v>91.25235997482693</v>
      </c>
      <c r="K43" s="13">
        <f>+K10/'[4]manip_POP_EU'!K10*1000000</f>
        <v>0</v>
      </c>
      <c r="L43" s="13">
        <f>+L10/'[4]manip_POP_EU'!L10*1000000</f>
        <v>89.26261319534281</v>
      </c>
      <c r="M43" s="13">
        <f>+M10/'[4]manip_POP_EU'!M10*1000000</f>
        <v>318.1309804896235</v>
      </c>
      <c r="N43" s="13">
        <f>+N10/'[4]manip_POP_EU'!N10*1000000</f>
        <v>53.38974513951849</v>
      </c>
      <c r="O43" s="13">
        <f>+O10/'[4]manip_POP_EU'!O10*1000000</f>
        <v>76.35082223962412</v>
      </c>
      <c r="P43" s="13">
        <f>+P10/'[4]manip_POP_EU'!P10*1000000</f>
        <v>219.68067036575698</v>
      </c>
      <c r="Q43" s="13">
        <f>+Q10/'[4]manip_POP_EU'!Q10*1000000</f>
        <v>116.02907552127768</v>
      </c>
    </row>
    <row r="44" spans="1:17" ht="11.25">
      <c r="A44" s="53">
        <v>1996</v>
      </c>
      <c r="B44" s="13">
        <f>+B11/'[4]manip_POP_EU'!B11*1000000</f>
        <v>129.3964898358842</v>
      </c>
      <c r="C44" s="13">
        <f>+C11/'[4]manip_POP_EU'!C11*1000000</f>
        <v>79.74795707393916</v>
      </c>
      <c r="D44" s="13">
        <f>+D11/'[4]manip_POP_EU'!D11*1000000</f>
        <v>0</v>
      </c>
      <c r="E44" s="13">
        <f>+E11/'[4]manip_POP_EU'!E11*1000000</f>
        <v>176.65299345639224</v>
      </c>
      <c r="F44" s="13">
        <f>+F11/'[4]manip_POP_EU'!F11*1000000</f>
        <v>70.64439140811456</v>
      </c>
      <c r="G44" s="13">
        <f>+G11/'[4]manip_POP_EU'!G11*1000000</f>
        <v>114.33169432441174</v>
      </c>
      <c r="H44" s="13">
        <f>+H11/'[4]manip_POP_EU'!H11*1000000</f>
        <v>151.6561541378003</v>
      </c>
      <c r="I44" s="13">
        <f>+I11/'[4]manip_POP_EU'!I11*1000000</f>
        <v>0</v>
      </c>
      <c r="J44" s="13">
        <f>+J11/'[4]manip_POP_EU'!J11*1000000</f>
        <v>92.71523178807948</v>
      </c>
      <c r="K44" s="13">
        <f>+K11/'[4]manip_POP_EU'!K11*1000000</f>
        <v>0</v>
      </c>
      <c r="L44" s="13">
        <f>+L11/'[4]manip_POP_EU'!L11*1000000</f>
        <v>89.5791712315525</v>
      </c>
      <c r="M44" s="13">
        <f>+M11/'[4]manip_POP_EU'!M11*1000000</f>
        <v>328.80900415540134</v>
      </c>
      <c r="N44" s="13">
        <f>+N11/'[4]manip_POP_EU'!N11*1000000</f>
        <v>54.38066465256798</v>
      </c>
      <c r="O44" s="13">
        <f>+O11/'[4]manip_POP_EU'!O11*1000000</f>
        <v>78.04878048780489</v>
      </c>
      <c r="P44" s="13">
        <f>+P11/'[4]manip_POP_EU'!P11*1000000</f>
        <v>223.9059142824833</v>
      </c>
      <c r="Q44" s="13">
        <f>+Q11/'[4]manip_POP_EU'!Q11*1000000</f>
        <v>113.09139144927043</v>
      </c>
    </row>
    <row r="45" spans="1:17" ht="11.25">
      <c r="A45" s="53">
        <v>1997</v>
      </c>
      <c r="B45" s="13">
        <f>+B12/'[4]manip_POP_EU'!B12*1000000</f>
        <v>130.8904375315241</v>
      </c>
      <c r="C45" s="13">
        <f>+C12/'[4]manip_POP_EU'!C12*1000000</f>
        <v>80.54218642569491</v>
      </c>
      <c r="D45" s="13">
        <f>+D12/'[4]manip_POP_EU'!D12*1000000</f>
        <v>0</v>
      </c>
      <c r="E45" s="13">
        <f>+E12/'[4]manip_POP_EU'!E12*1000000</f>
        <v>176.67629247846378</v>
      </c>
      <c r="F45" s="13">
        <f>+F12/'[4]manip_POP_EU'!F12*1000000</f>
        <v>71.44898542440697</v>
      </c>
      <c r="G45" s="13">
        <f>+G12/'[4]manip_POP_EU'!G12*1000000</f>
        <v>116.21697225542304</v>
      </c>
      <c r="H45" s="13">
        <f>+H12/'[4]manip_POP_EU'!H12*1000000</f>
        <v>154.6179219351292</v>
      </c>
      <c r="I45" s="13">
        <f>+I12/'[4]manip_POP_EU'!I12*1000000</f>
        <v>0</v>
      </c>
      <c r="J45" s="13">
        <f>+J12/'[4]manip_POP_EU'!J12*1000000</f>
        <v>92.13705822019018</v>
      </c>
      <c r="K45" s="13">
        <f>+K12/'[4]manip_POP_EU'!K12*1000000</f>
        <v>0</v>
      </c>
      <c r="L45" s="13">
        <f>+L12/'[4]manip_POP_EU'!L12*1000000</f>
        <v>89.703338245659</v>
      </c>
      <c r="M45" s="13">
        <f>+M12/'[4]manip_POP_EU'!M12*1000000</f>
        <v>330.76566677155364</v>
      </c>
      <c r="N45" s="13">
        <f>+N12/'[4]manip_POP_EU'!N12*1000000</f>
        <v>50.27652086475616</v>
      </c>
      <c r="O45" s="13">
        <f>+O12/'[4]manip_POP_EU'!O12*1000000</f>
        <v>81.13093014568547</v>
      </c>
      <c r="P45" s="13">
        <f>+P12/'[4]manip_POP_EU'!P12*1000000</f>
        <v>226.0030013198575</v>
      </c>
      <c r="Q45" s="13">
        <f>+Q12/'[4]manip_POP_EU'!Q12*1000000</f>
        <v>118.62597230930875</v>
      </c>
    </row>
    <row r="46" spans="1:17" ht="11.25">
      <c r="A46" s="53">
        <v>1998</v>
      </c>
      <c r="B46" s="13">
        <f>+B13/'[4]manip_POP_EU'!B13*1000000</f>
        <v>133.05003646221348</v>
      </c>
      <c r="C46" s="13">
        <f>+C13/'[4]manip_POP_EU'!C13*1000000</f>
        <v>80.36851906302067</v>
      </c>
      <c r="D46" s="13">
        <f>+D13/'[4]manip_POP_EU'!D13*1000000</f>
        <v>0</v>
      </c>
      <c r="E46" s="13">
        <f>+E13/'[4]manip_POP_EU'!E13*1000000</f>
        <v>175.50915938425538</v>
      </c>
      <c r="F46" s="13">
        <f>+F13/'[4]manip_POP_EU'!F13*1000000</f>
        <v>76.08178792201618</v>
      </c>
      <c r="G46" s="13">
        <f>+G13/'[4]manip_POP_EU'!G13*1000000</f>
        <v>122.93312336491327</v>
      </c>
      <c r="H46" s="13">
        <f>+H13/'[4]manip_POP_EU'!H13*1000000</f>
        <v>159.2520291790815</v>
      </c>
      <c r="I46" s="13">
        <f>+I13/'[4]manip_POP_EU'!I13*1000000</f>
        <v>0</v>
      </c>
      <c r="J46" s="13">
        <f>+J13/'[4]manip_POP_EU'!J13*1000000</f>
        <v>92.03306244356463</v>
      </c>
      <c r="K46" s="13">
        <f>+K13/'[4]manip_POP_EU'!K13*1000000</f>
        <v>0</v>
      </c>
      <c r="L46" s="13">
        <f>+L13/'[4]manip_POP_EU'!L13*1000000</f>
        <v>89.18333545674606</v>
      </c>
      <c r="M46" s="13">
        <f>+M13/'[4]manip_POP_EU'!M13*1000000</f>
        <v>331.7468078653703</v>
      </c>
      <c r="N46" s="13">
        <f>+N13/'[4]manip_POP_EU'!N13*1000000</f>
        <v>55.17656500802568</v>
      </c>
      <c r="O46" s="13">
        <f>+O13/'[4]manip_POP_EU'!O13*1000000</f>
        <v>85.19309140306616</v>
      </c>
      <c r="P46" s="13">
        <f>+P13/'[4]manip_POP_EU'!P13*1000000</f>
        <v>227.07245983867688</v>
      </c>
      <c r="Q46" s="13">
        <f>+Q13/'[4]manip_POP_EU'!Q13*1000000</f>
        <v>123.14572609906338</v>
      </c>
    </row>
    <row r="47" spans="1:17" ht="11.25">
      <c r="A47" s="53">
        <v>1999</v>
      </c>
      <c r="B47" s="13">
        <f>+B14/'[4]manip_POP_EU'!B14*1000000</f>
        <v>136.2107703193162</v>
      </c>
      <c r="C47" s="13">
        <f>+C14/'[4]manip_POP_EU'!C14*1000000</f>
        <v>80.18775669861137</v>
      </c>
      <c r="D47" s="13">
        <f>+D14/'[4]manip_POP_EU'!D14*1000000</f>
        <v>0</v>
      </c>
      <c r="E47" s="13">
        <f>+E14/'[4]manip_POP_EU'!E14*1000000</f>
        <v>176.6418555922375</v>
      </c>
      <c r="F47" s="13">
        <f>+F14/'[4]manip_POP_EU'!F14*1000000</f>
        <v>76.86468020497249</v>
      </c>
      <c r="G47" s="13">
        <f>+G14/'[4]manip_POP_EU'!G14*1000000</f>
        <v>128.3677507737582</v>
      </c>
      <c r="H47" s="13">
        <f>+H14/'[4]manip_POP_EU'!H14*1000000</f>
        <v>165.47253497099965</v>
      </c>
      <c r="I47" s="13">
        <f>+I14/'[4]manip_POP_EU'!I14*1000000</f>
        <v>0</v>
      </c>
      <c r="J47" s="13">
        <f>+J14/'[4]manip_POP_EU'!J14*1000000</f>
        <v>90.20573847274747</v>
      </c>
      <c r="K47" s="13">
        <f>+K14/'[4]manip_POP_EU'!K14*1000000</f>
        <v>0</v>
      </c>
      <c r="L47" s="13">
        <f>+L14/'[4]manip_POP_EU'!L14*1000000</f>
        <v>89.84498576399872</v>
      </c>
      <c r="M47" s="13">
        <f>+M14/'[4]manip_POP_EU'!M14*1000000</f>
        <v>337.3598195804628</v>
      </c>
      <c r="N47" s="13">
        <f>+N14/'[4]manip_POP_EU'!N14*1000000</f>
        <v>56.061667834618085</v>
      </c>
      <c r="O47" s="13">
        <f>+O14/'[4]manip_POP_EU'!O14*1000000</f>
        <v>92.93320425943851</v>
      </c>
      <c r="P47" s="13">
        <f>+P14/'[4]manip_POP_EU'!P14*1000000</f>
        <v>232.57389301600924</v>
      </c>
      <c r="Q47" s="13">
        <f>+Q14/'[4]manip_POP_EU'!Q14*1000000</f>
        <v>131.0904540939717</v>
      </c>
    </row>
  </sheetData>
  <conditionalFormatting sqref="B26:C26 B5:Q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U43"/>
  <sheetViews>
    <sheetView workbookViewId="0" topLeftCell="A1">
      <selection activeCell="Q24" sqref="Q24"/>
    </sheetView>
  </sheetViews>
  <sheetFormatPr defaultColWidth="9.140625" defaultRowHeight="12.75"/>
  <cols>
    <col min="1" max="21" width="6.7109375" style="3" customWidth="1"/>
    <col min="22" max="16384" width="9.140625" style="3" customWidth="1"/>
  </cols>
  <sheetData>
    <row r="1" spans="1:4" ht="11.25">
      <c r="A1" s="2" t="s">
        <v>119</v>
      </c>
      <c r="B1" s="2"/>
      <c r="C1" s="2"/>
      <c r="D1" s="2"/>
    </row>
    <row r="2" ht="11.25">
      <c r="A2" s="57" t="s">
        <v>3</v>
      </c>
    </row>
    <row r="3" spans="1:18" ht="11.25">
      <c r="A3" s="31"/>
      <c r="B3" s="16"/>
      <c r="C3" s="2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1" ht="12">
      <c r="A4" s="92"/>
      <c r="B4" s="93" t="s">
        <v>66</v>
      </c>
      <c r="C4" s="93" t="s">
        <v>67</v>
      </c>
      <c r="D4" s="93" t="s">
        <v>68</v>
      </c>
      <c r="E4" s="93" t="s">
        <v>10</v>
      </c>
      <c r="F4" s="93" t="s">
        <v>69</v>
      </c>
      <c r="G4" s="93" t="s">
        <v>70</v>
      </c>
      <c r="H4" s="93" t="s">
        <v>71</v>
      </c>
      <c r="I4" s="93" t="s">
        <v>72</v>
      </c>
      <c r="J4" s="93" t="s">
        <v>73</v>
      </c>
      <c r="K4" s="93" t="s">
        <v>74</v>
      </c>
      <c r="L4" s="93" t="s">
        <v>75</v>
      </c>
      <c r="M4" s="93" t="s">
        <v>76</v>
      </c>
      <c r="N4" s="93" t="s">
        <v>19</v>
      </c>
      <c r="O4" s="93" t="s">
        <v>20</v>
      </c>
      <c r="P4" s="93" t="s">
        <v>79</v>
      </c>
      <c r="Q4" s="94" t="s">
        <v>112</v>
      </c>
      <c r="R4" s="94" t="s">
        <v>113</v>
      </c>
      <c r="S4" s="95" t="s">
        <v>114</v>
      </c>
      <c r="T4" s="95" t="s">
        <v>115</v>
      </c>
      <c r="U4" s="95" t="s">
        <v>116</v>
      </c>
    </row>
    <row r="5" spans="1:21" ht="12">
      <c r="A5" s="96">
        <v>1991</v>
      </c>
      <c r="B5" s="27">
        <v>0.75</v>
      </c>
      <c r="C5" s="27">
        <v>1.243</v>
      </c>
      <c r="D5" s="27">
        <v>15.14</v>
      </c>
      <c r="E5" s="27">
        <v>0.81</v>
      </c>
      <c r="F5" s="27">
        <v>4.3</v>
      </c>
      <c r="G5" s="27">
        <v>9.7</v>
      </c>
      <c r="H5" s="27">
        <v>0</v>
      </c>
      <c r="I5" s="27">
        <v>5.328</v>
      </c>
      <c r="J5" s="27">
        <v>0</v>
      </c>
      <c r="K5" s="27">
        <v>1.29</v>
      </c>
      <c r="L5" s="27">
        <v>2.2</v>
      </c>
      <c r="M5" s="27">
        <v>0.65</v>
      </c>
      <c r="N5" s="27">
        <v>0.34</v>
      </c>
      <c r="O5" s="27">
        <v>1.79</v>
      </c>
      <c r="P5" s="27">
        <v>6.24</v>
      </c>
      <c r="Q5" s="27" t="s">
        <v>4</v>
      </c>
      <c r="R5" s="27">
        <v>0.42</v>
      </c>
      <c r="S5" s="27">
        <v>49.781000000000006</v>
      </c>
      <c r="T5" s="27">
        <v>12.881654</v>
      </c>
      <c r="U5" s="27">
        <v>0.34</v>
      </c>
    </row>
    <row r="6" spans="1:21" ht="12">
      <c r="A6" s="96">
        <v>1992</v>
      </c>
      <c r="B6" s="27">
        <v>0.76</v>
      </c>
      <c r="C6" s="27">
        <v>1.211</v>
      </c>
      <c r="D6" s="27">
        <v>14.43</v>
      </c>
      <c r="E6" s="27">
        <v>0.79</v>
      </c>
      <c r="F6" s="27">
        <v>4.25</v>
      </c>
      <c r="G6" s="27">
        <v>9.85</v>
      </c>
      <c r="H6" s="27">
        <v>0</v>
      </c>
      <c r="I6" s="27">
        <v>5.4</v>
      </c>
      <c r="J6" s="27">
        <v>0</v>
      </c>
      <c r="K6" s="27">
        <v>1.32</v>
      </c>
      <c r="L6" s="27">
        <v>2.3</v>
      </c>
      <c r="M6" s="27">
        <v>0.63</v>
      </c>
      <c r="N6" s="27">
        <v>0.345</v>
      </c>
      <c r="O6" s="27">
        <v>1.73</v>
      </c>
      <c r="P6" s="27">
        <v>6.15</v>
      </c>
      <c r="Q6" s="27" t="s">
        <v>4</v>
      </c>
      <c r="R6" s="27">
        <v>0.35</v>
      </c>
      <c r="S6" s="27">
        <v>49.16599999999999</v>
      </c>
      <c r="T6" s="27">
        <v>12.905788999999999</v>
      </c>
      <c r="U6" s="27">
        <v>0.345</v>
      </c>
    </row>
    <row r="7" spans="1:21" ht="12">
      <c r="A7" s="96">
        <v>1993</v>
      </c>
      <c r="B7" s="27">
        <v>0.77</v>
      </c>
      <c r="C7" s="27">
        <v>1.212</v>
      </c>
      <c r="D7" s="27">
        <v>14.62</v>
      </c>
      <c r="E7" s="27">
        <v>0.77</v>
      </c>
      <c r="F7" s="27">
        <v>4.2</v>
      </c>
      <c r="G7" s="27">
        <v>10</v>
      </c>
      <c r="H7" s="27">
        <v>0</v>
      </c>
      <c r="I7" s="27">
        <v>5.5</v>
      </c>
      <c r="J7" s="27">
        <v>0</v>
      </c>
      <c r="K7" s="27">
        <v>1.34</v>
      </c>
      <c r="L7" s="27">
        <v>2.4</v>
      </c>
      <c r="M7" s="27">
        <v>0.61</v>
      </c>
      <c r="N7" s="27">
        <v>0.357</v>
      </c>
      <c r="O7" s="27">
        <v>1.66</v>
      </c>
      <c r="P7" s="27">
        <v>6.2</v>
      </c>
      <c r="Q7" s="27" t="s">
        <v>4</v>
      </c>
      <c r="R7" s="27">
        <v>0.37</v>
      </c>
      <c r="S7" s="27">
        <v>49.639</v>
      </c>
      <c r="T7" s="27">
        <v>12.300804999999999</v>
      </c>
      <c r="U7" s="27">
        <v>0.357</v>
      </c>
    </row>
    <row r="8" spans="1:21" ht="12">
      <c r="A8" s="96">
        <v>1994</v>
      </c>
      <c r="B8" s="27">
        <v>0.79</v>
      </c>
      <c r="C8" s="27">
        <v>1.224</v>
      </c>
      <c r="D8" s="27">
        <v>14.47</v>
      </c>
      <c r="E8" s="27">
        <v>0.72</v>
      </c>
      <c r="F8" s="27">
        <v>4.15</v>
      </c>
      <c r="G8" s="27">
        <v>10</v>
      </c>
      <c r="H8" s="27">
        <v>0</v>
      </c>
      <c r="I8" s="27">
        <v>5.1</v>
      </c>
      <c r="J8" s="27">
        <v>0</v>
      </c>
      <c r="K8" s="27">
        <v>1.39</v>
      </c>
      <c r="L8" s="27">
        <v>2.45</v>
      </c>
      <c r="M8" s="27">
        <v>0.58</v>
      </c>
      <c r="N8" s="27">
        <v>0.37</v>
      </c>
      <c r="O8" s="27">
        <v>1.51</v>
      </c>
      <c r="P8" s="27">
        <v>6.5</v>
      </c>
      <c r="Q8" s="27" t="s">
        <v>4</v>
      </c>
      <c r="R8" s="27">
        <v>0.38</v>
      </c>
      <c r="S8" s="27">
        <v>49.254</v>
      </c>
      <c r="T8" s="27">
        <v>14.205861</v>
      </c>
      <c r="U8" s="27">
        <v>0.37</v>
      </c>
    </row>
    <row r="9" spans="1:21" ht="12">
      <c r="A9" s="96">
        <v>1995</v>
      </c>
      <c r="B9" s="27">
        <v>0.8</v>
      </c>
      <c r="C9" s="27">
        <v>1.213</v>
      </c>
      <c r="D9" s="27">
        <v>14.43</v>
      </c>
      <c r="E9" s="27">
        <v>0.74</v>
      </c>
      <c r="F9" s="27">
        <v>4.25</v>
      </c>
      <c r="G9" s="27">
        <v>9</v>
      </c>
      <c r="H9" s="27">
        <v>0</v>
      </c>
      <c r="I9" s="27">
        <v>5.22</v>
      </c>
      <c r="J9" s="27">
        <v>0</v>
      </c>
      <c r="K9" s="27">
        <v>1.38</v>
      </c>
      <c r="L9" s="27">
        <v>2.56</v>
      </c>
      <c r="M9" s="27">
        <v>0.53</v>
      </c>
      <c r="N9" s="27">
        <v>0.39</v>
      </c>
      <c r="O9" s="27">
        <v>1.42</v>
      </c>
      <c r="P9" s="27">
        <v>6.8</v>
      </c>
      <c r="Q9" s="27" t="s">
        <v>4</v>
      </c>
      <c r="R9" s="27">
        <v>0.38</v>
      </c>
      <c r="S9" s="27">
        <v>48.733000000000004</v>
      </c>
      <c r="T9" s="27">
        <v>14.648335999999999</v>
      </c>
      <c r="U9" s="27">
        <v>0.39</v>
      </c>
    </row>
    <row r="10" spans="1:21" ht="12">
      <c r="A10" s="96">
        <v>1996</v>
      </c>
      <c r="B10" s="27">
        <v>0.8</v>
      </c>
      <c r="C10" s="27">
        <v>1.203</v>
      </c>
      <c r="D10" s="27">
        <v>14.47</v>
      </c>
      <c r="E10" s="27">
        <v>0.74</v>
      </c>
      <c r="F10" s="27">
        <v>4.49</v>
      </c>
      <c r="G10" s="27">
        <v>9.5</v>
      </c>
      <c r="H10" s="27">
        <v>0</v>
      </c>
      <c r="I10" s="27">
        <v>5.32</v>
      </c>
      <c r="J10" s="27">
        <v>0</v>
      </c>
      <c r="K10" s="27">
        <v>1.39</v>
      </c>
      <c r="L10" s="27">
        <v>2.65</v>
      </c>
      <c r="M10" s="27">
        <v>0.54</v>
      </c>
      <c r="N10" s="27">
        <v>0.4</v>
      </c>
      <c r="O10" s="27">
        <v>1.42</v>
      </c>
      <c r="P10" s="27">
        <v>6.65</v>
      </c>
      <c r="Q10" s="27" t="s">
        <v>4</v>
      </c>
      <c r="R10" s="27">
        <v>0.42</v>
      </c>
      <c r="S10" s="27">
        <v>49.57299999999999</v>
      </c>
      <c r="T10" s="27">
        <v>14.976572</v>
      </c>
      <c r="U10" s="27">
        <v>0.4</v>
      </c>
    </row>
    <row r="11" spans="1:21" ht="12">
      <c r="A11" s="96">
        <v>1997</v>
      </c>
      <c r="B11" s="27">
        <v>0.8</v>
      </c>
      <c r="C11" s="27">
        <v>1.185</v>
      </c>
      <c r="D11" s="27">
        <v>14.5</v>
      </c>
      <c r="E11" s="27">
        <v>0.75</v>
      </c>
      <c r="F11" s="27">
        <v>4.57</v>
      </c>
      <c r="G11" s="27">
        <v>9.8</v>
      </c>
      <c r="H11" s="27">
        <v>0</v>
      </c>
      <c r="I11" s="27">
        <v>5.36</v>
      </c>
      <c r="J11" s="27">
        <v>0</v>
      </c>
      <c r="K11" s="27">
        <v>1.4</v>
      </c>
      <c r="L11" s="27">
        <v>2.67</v>
      </c>
      <c r="M11" s="27">
        <v>0.5</v>
      </c>
      <c r="N11" s="27">
        <v>0.417</v>
      </c>
      <c r="O11" s="27">
        <v>1.45</v>
      </c>
      <c r="P11" s="27">
        <v>7</v>
      </c>
      <c r="Q11" s="27" t="s">
        <v>4</v>
      </c>
      <c r="R11" s="27">
        <v>0.43</v>
      </c>
      <c r="S11" s="27">
        <v>50.40200000000001</v>
      </c>
      <c r="T11" s="27">
        <v>14.598457</v>
      </c>
      <c r="U11" s="27">
        <v>0.417</v>
      </c>
    </row>
    <row r="12" spans="1:21" ht="12">
      <c r="A12" s="96">
        <v>1998</v>
      </c>
      <c r="B12" s="27">
        <v>0.81</v>
      </c>
      <c r="C12" s="27">
        <v>1.215</v>
      </c>
      <c r="D12" s="27">
        <v>14.4</v>
      </c>
      <c r="E12" s="27">
        <v>0.8</v>
      </c>
      <c r="F12" s="27">
        <v>4.84</v>
      </c>
      <c r="G12" s="27">
        <v>10.1</v>
      </c>
      <c r="H12" s="27">
        <v>0</v>
      </c>
      <c r="I12" s="27">
        <v>5.37</v>
      </c>
      <c r="J12" s="27">
        <v>0</v>
      </c>
      <c r="K12" s="27">
        <v>1.4</v>
      </c>
      <c r="L12" s="27">
        <v>2.7</v>
      </c>
      <c r="M12" s="27">
        <v>0.55</v>
      </c>
      <c r="N12" s="27">
        <v>0.439</v>
      </c>
      <c r="O12" s="27">
        <v>1.45</v>
      </c>
      <c r="P12" s="27">
        <v>7.297</v>
      </c>
      <c r="Q12" s="27" t="s">
        <v>4</v>
      </c>
      <c r="R12" s="27">
        <v>0.47</v>
      </c>
      <c r="S12" s="27">
        <v>51.370999999999995</v>
      </c>
      <c r="T12" s="27">
        <v>15.822906</v>
      </c>
      <c r="U12" s="27">
        <v>0.439</v>
      </c>
    </row>
    <row r="13" spans="1:21" ht="12">
      <c r="A13" s="96">
        <v>1999</v>
      </c>
      <c r="B13" s="27">
        <v>0.82</v>
      </c>
      <c r="C13" s="27">
        <v>1.183</v>
      </c>
      <c r="D13" s="27">
        <v>14.5</v>
      </c>
      <c r="E13" s="27">
        <v>0.81</v>
      </c>
      <c r="F13" s="27">
        <v>5.06</v>
      </c>
      <c r="G13" s="27">
        <v>10.4</v>
      </c>
      <c r="H13" s="27">
        <v>0</v>
      </c>
      <c r="I13" s="27">
        <v>5.4</v>
      </c>
      <c r="J13" s="27">
        <v>0</v>
      </c>
      <c r="K13" s="27">
        <v>1.42</v>
      </c>
      <c r="L13" s="27">
        <v>2.73</v>
      </c>
      <c r="M13" s="27">
        <v>0.56</v>
      </c>
      <c r="N13" s="27">
        <v>0.46</v>
      </c>
      <c r="O13" s="27">
        <v>1.46</v>
      </c>
      <c r="P13" s="27">
        <v>7.5</v>
      </c>
      <c r="Q13" s="27" t="s">
        <v>4</v>
      </c>
      <c r="R13" s="27">
        <v>0.51</v>
      </c>
      <c r="S13" s="27">
        <v>52.303</v>
      </c>
      <c r="T13" s="27" t="s">
        <v>4</v>
      </c>
      <c r="U13" s="27">
        <v>0.46</v>
      </c>
    </row>
    <row r="14" spans="1:21" ht="12">
      <c r="A14" s="96">
        <v>2000</v>
      </c>
      <c r="B14" s="27" t="s">
        <v>4</v>
      </c>
      <c r="C14" s="27">
        <v>1.182</v>
      </c>
      <c r="D14" s="27" t="s">
        <v>4</v>
      </c>
      <c r="E14" s="27" t="s">
        <v>4</v>
      </c>
      <c r="F14" s="27" t="s">
        <v>4</v>
      </c>
      <c r="G14" s="27" t="s">
        <v>4</v>
      </c>
      <c r="H14" s="27" t="s">
        <v>4</v>
      </c>
      <c r="I14" s="27" t="s">
        <v>4</v>
      </c>
      <c r="J14" s="27" t="s">
        <v>4</v>
      </c>
      <c r="K14" s="27" t="s">
        <v>4</v>
      </c>
      <c r="L14" s="27" t="s">
        <v>4</v>
      </c>
      <c r="M14" s="27" t="s">
        <v>4</v>
      </c>
      <c r="N14" s="27" t="s">
        <v>4</v>
      </c>
      <c r="O14" s="27" t="s">
        <v>4</v>
      </c>
      <c r="P14" s="27" t="s">
        <v>4</v>
      </c>
      <c r="Q14" s="27" t="s">
        <v>4</v>
      </c>
      <c r="R14" s="27">
        <v>0.5</v>
      </c>
      <c r="S14" s="27">
        <v>0</v>
      </c>
      <c r="T14" s="27" t="s">
        <v>4</v>
      </c>
      <c r="U14" s="27" t="s">
        <v>4</v>
      </c>
    </row>
    <row r="15" spans="1:21" ht="12">
      <c r="A15" s="96">
        <v>2001</v>
      </c>
      <c r="B15" s="48" t="s">
        <v>4</v>
      </c>
      <c r="C15" s="48" t="s">
        <v>4</v>
      </c>
      <c r="D15" s="48" t="s">
        <v>4</v>
      </c>
      <c r="E15" s="48" t="s">
        <v>4</v>
      </c>
      <c r="F15" s="48" t="s">
        <v>4</v>
      </c>
      <c r="G15" s="48" t="s">
        <v>4</v>
      </c>
      <c r="H15" s="48" t="s">
        <v>4</v>
      </c>
      <c r="I15" s="48" t="s">
        <v>4</v>
      </c>
      <c r="J15" s="48" t="s">
        <v>4</v>
      </c>
      <c r="K15" s="48" t="s">
        <v>4</v>
      </c>
      <c r="L15" s="48" t="s">
        <v>4</v>
      </c>
      <c r="M15" s="48" t="s">
        <v>4</v>
      </c>
      <c r="N15" s="48" t="s">
        <v>4</v>
      </c>
      <c r="O15" s="48" t="s">
        <v>4</v>
      </c>
      <c r="P15" s="48" t="s">
        <v>4</v>
      </c>
      <c r="Q15" s="48" t="s">
        <v>4</v>
      </c>
      <c r="R15" s="48" t="s">
        <v>4</v>
      </c>
      <c r="S15" s="48" t="s">
        <v>4</v>
      </c>
      <c r="T15" s="48" t="s">
        <v>4</v>
      </c>
      <c r="U15" s="48" t="s">
        <v>4</v>
      </c>
    </row>
    <row r="19" spans="2:17" ht="18">
      <c r="B19" s="166"/>
      <c r="C19" s="166"/>
      <c r="D19" s="167"/>
      <c r="E19" s="219" t="s">
        <v>49</v>
      </c>
      <c r="F19" s="219"/>
      <c r="G19" s="219"/>
      <c r="H19" s="219"/>
      <c r="I19" s="219"/>
      <c r="J19" s="219"/>
      <c r="K19" s="219"/>
      <c r="L19" s="219"/>
      <c r="M19" s="219"/>
      <c r="N19" s="219"/>
      <c r="O19" s="7"/>
      <c r="P19" s="168"/>
      <c r="Q19" s="169"/>
    </row>
    <row r="20" spans="1:19" ht="12.75">
      <c r="A20" s="170"/>
      <c r="B20" s="170"/>
      <c r="C20" s="170"/>
      <c r="D20" s="170"/>
      <c r="E20" s="220" t="s">
        <v>191</v>
      </c>
      <c r="F20" s="220"/>
      <c r="G20" s="220"/>
      <c r="H20" s="220"/>
      <c r="I20" s="220"/>
      <c r="J20" s="220"/>
      <c r="K20" s="220"/>
      <c r="L20" s="220"/>
      <c r="M20" s="220"/>
      <c r="N20" s="220"/>
      <c r="O20" s="7"/>
      <c r="P20" s="7"/>
      <c r="Q20" s="171"/>
      <c r="R20" s="172"/>
      <c r="S20" s="173"/>
    </row>
    <row r="21" spans="1:19" ht="16.5">
      <c r="A21" s="174"/>
      <c r="B21" s="175" t="s">
        <v>66</v>
      </c>
      <c r="C21" s="175" t="s">
        <v>67</v>
      </c>
      <c r="D21" s="175" t="s">
        <v>68</v>
      </c>
      <c r="E21" s="175" t="s">
        <v>10</v>
      </c>
      <c r="F21" s="175" t="s">
        <v>69</v>
      </c>
      <c r="G21" s="175" t="s">
        <v>70</v>
      </c>
      <c r="H21" s="175" t="s">
        <v>71</v>
      </c>
      <c r="I21" s="175" t="s">
        <v>72</v>
      </c>
      <c r="J21" s="175" t="s">
        <v>73</v>
      </c>
      <c r="K21" s="175" t="s">
        <v>74</v>
      </c>
      <c r="L21" s="175" t="s">
        <v>75</v>
      </c>
      <c r="M21" s="175" t="s">
        <v>76</v>
      </c>
      <c r="N21" s="175" t="s">
        <v>77</v>
      </c>
      <c r="O21" s="175" t="s">
        <v>78</v>
      </c>
      <c r="P21" s="175" t="s">
        <v>79</v>
      </c>
      <c r="Q21" s="176" t="s">
        <v>114</v>
      </c>
      <c r="R21" s="221" t="s">
        <v>192</v>
      </c>
      <c r="S21" s="222" t="s">
        <v>193</v>
      </c>
    </row>
    <row r="22" spans="1:19" ht="11.25" customHeight="1">
      <c r="A22" s="174"/>
      <c r="B22" s="177"/>
      <c r="C22" s="177"/>
      <c r="D22" s="177"/>
      <c r="E22" s="177"/>
      <c r="F22" s="177"/>
      <c r="G22" s="178" t="s">
        <v>194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9"/>
      <c r="R22" s="223"/>
      <c r="S22" s="224"/>
    </row>
    <row r="23" spans="1:19" ht="12.75">
      <c r="A23" s="180">
        <v>1970</v>
      </c>
      <c r="B23" s="181">
        <v>0.86</v>
      </c>
      <c r="C23" s="182" t="s">
        <v>195</v>
      </c>
      <c r="D23" s="183">
        <v>14.63</v>
      </c>
      <c r="E23" s="184">
        <v>0.63</v>
      </c>
      <c r="F23" s="184">
        <v>3.67</v>
      </c>
      <c r="G23" s="183">
        <v>6.5</v>
      </c>
      <c r="H23" s="182" t="s">
        <v>195</v>
      </c>
      <c r="I23" s="184">
        <v>2.21</v>
      </c>
      <c r="J23" s="182" t="s">
        <v>195</v>
      </c>
      <c r="K23" s="184">
        <v>1.24</v>
      </c>
      <c r="L23" s="184">
        <v>1.5</v>
      </c>
      <c r="M23" s="184">
        <v>0.93</v>
      </c>
      <c r="N23" s="185">
        <v>0.1</v>
      </c>
      <c r="O23" s="185">
        <v>1.44</v>
      </c>
      <c r="P23" s="183">
        <v>5.2</v>
      </c>
      <c r="Q23" s="186">
        <f aca="true" t="shared" si="0" ref="Q23:Q32">SUM(B23:P23)</f>
        <v>38.910000000000004</v>
      </c>
      <c r="R23" s="187">
        <f>(Q23/$R$6)*100</f>
        <v>11117.142857142859</v>
      </c>
      <c r="S23" s="188">
        <f>(Q23/SUM('[5]3.5.4'!R24+'[5]3.5.6'!R24+'[5]3.5.8'!R24+'[5]3.5.7'!R24+'[5]3.5.2'!G26))*100</f>
        <v>462.63007887906633</v>
      </c>
    </row>
    <row r="24" spans="1:19" ht="12.75">
      <c r="A24" s="180">
        <v>1980</v>
      </c>
      <c r="B24" s="181">
        <v>0.77</v>
      </c>
      <c r="C24" s="182" t="s">
        <v>195</v>
      </c>
      <c r="D24" s="183">
        <v>13.84</v>
      </c>
      <c r="E24" s="184">
        <v>0.68</v>
      </c>
      <c r="F24" s="184">
        <v>3.88</v>
      </c>
      <c r="G24" s="183">
        <v>7.7</v>
      </c>
      <c r="H24" s="182" t="s">
        <v>195</v>
      </c>
      <c r="I24" s="184">
        <v>3.66</v>
      </c>
      <c r="J24" s="182" t="s">
        <v>195</v>
      </c>
      <c r="K24" s="184">
        <v>1.35</v>
      </c>
      <c r="L24" s="184">
        <v>1.65</v>
      </c>
      <c r="M24" s="184">
        <v>0.74</v>
      </c>
      <c r="N24" s="185">
        <v>0.13</v>
      </c>
      <c r="O24" s="185">
        <v>1.97</v>
      </c>
      <c r="P24" s="183">
        <v>4.3</v>
      </c>
      <c r="Q24" s="189">
        <f t="shared" si="0"/>
        <v>40.67</v>
      </c>
      <c r="R24" s="187">
        <f aca="true" t="shared" si="1" ref="R24:R35">(Q24/$R$6)*100</f>
        <v>11620.000000000002</v>
      </c>
      <c r="S24" s="188">
        <f>(Q24/SUM('[5]3.5.4'!R25+'[5]3.5.6'!R25+'[5]3.5.7'!R25+'[5]3.5.8'!R25+'[5]3.5.2'!G27))*100</f>
        <v>519.4551571411042</v>
      </c>
    </row>
    <row r="25" spans="1:19" ht="12.75">
      <c r="A25" s="180">
        <v>1990</v>
      </c>
      <c r="B25" s="181">
        <v>0.74</v>
      </c>
      <c r="C25" s="182" t="s">
        <v>195</v>
      </c>
      <c r="D25" s="183">
        <v>15.1</v>
      </c>
      <c r="E25" s="184">
        <v>0.83</v>
      </c>
      <c r="F25" s="184">
        <v>4.38</v>
      </c>
      <c r="G25" s="190">
        <v>9.7</v>
      </c>
      <c r="H25" s="182" t="s">
        <v>195</v>
      </c>
      <c r="I25" s="184">
        <v>4.57</v>
      </c>
      <c r="J25" s="182" t="s">
        <v>195</v>
      </c>
      <c r="K25" s="184">
        <v>1.26</v>
      </c>
      <c r="L25" s="184">
        <v>2.1</v>
      </c>
      <c r="M25" s="185">
        <v>0.67</v>
      </c>
      <c r="N25" s="185">
        <v>0.35</v>
      </c>
      <c r="O25" s="185">
        <v>2.01</v>
      </c>
      <c r="P25" s="183">
        <v>6.5</v>
      </c>
      <c r="Q25" s="189">
        <f t="shared" si="0"/>
        <v>48.209999999999994</v>
      </c>
      <c r="R25" s="187">
        <f t="shared" si="1"/>
        <v>13774.285714285714</v>
      </c>
      <c r="S25" s="188">
        <f>(Q25/SUM('[5]3.5.4'!R26+'[5]3.5.6'!R26+'[5]3.5.7'!R26+'[5]3.5.8'!R26+'[5]3.5.2'!G28))*100</f>
        <v>797.8604321594537</v>
      </c>
    </row>
    <row r="26" spans="1:19" ht="12.75">
      <c r="A26" s="180">
        <v>1991</v>
      </c>
      <c r="B26" s="191">
        <v>0.75</v>
      </c>
      <c r="C26" s="182" t="s">
        <v>195</v>
      </c>
      <c r="D26" s="192">
        <v>15.14</v>
      </c>
      <c r="E26" s="191">
        <v>0.81</v>
      </c>
      <c r="F26" s="191">
        <v>4.3</v>
      </c>
      <c r="G26" s="190">
        <v>9.4</v>
      </c>
      <c r="H26" s="182" t="s">
        <v>195</v>
      </c>
      <c r="I26" s="191">
        <v>5.328</v>
      </c>
      <c r="J26" s="182" t="s">
        <v>195</v>
      </c>
      <c r="K26" s="191">
        <v>1.29</v>
      </c>
      <c r="L26" s="191">
        <v>2.2</v>
      </c>
      <c r="M26" s="185">
        <v>0.65</v>
      </c>
      <c r="N26" s="185">
        <v>0.34</v>
      </c>
      <c r="O26" s="185">
        <v>1.93</v>
      </c>
      <c r="P26" s="192">
        <v>6.24</v>
      </c>
      <c r="Q26" s="189">
        <f t="shared" si="0"/>
        <v>48.37800000000001</v>
      </c>
      <c r="R26" s="187">
        <f t="shared" si="1"/>
        <v>13822.285714285717</v>
      </c>
      <c r="S26" s="188" t="e">
        <f>(Q26/SUM('[5]3.5.4'!R27+'[5]3.5.6'!R27+'[5]3.5.7'!R27+'[5]3.5.8'!R27+'[5]3.5.2'!G30))*100</f>
        <v>#DIV/0!</v>
      </c>
    </row>
    <row r="27" spans="1:19" ht="12.75">
      <c r="A27" s="180">
        <v>1992</v>
      </c>
      <c r="B27" s="191">
        <v>0.76</v>
      </c>
      <c r="C27" s="182" t="s">
        <v>195</v>
      </c>
      <c r="D27" s="192">
        <v>14.43</v>
      </c>
      <c r="E27" s="191">
        <v>0.79</v>
      </c>
      <c r="F27" s="191">
        <v>4.25</v>
      </c>
      <c r="G27" s="190">
        <v>9.5</v>
      </c>
      <c r="H27" s="182" t="s">
        <v>195</v>
      </c>
      <c r="I27" s="191">
        <v>5.4</v>
      </c>
      <c r="J27" s="182" t="s">
        <v>195</v>
      </c>
      <c r="K27" s="191">
        <v>1.32</v>
      </c>
      <c r="L27" s="191">
        <v>2.3</v>
      </c>
      <c r="M27" s="185">
        <v>0.63</v>
      </c>
      <c r="N27" s="185">
        <v>0.345</v>
      </c>
      <c r="O27" s="185">
        <v>1.91</v>
      </c>
      <c r="P27" s="192">
        <v>6.15</v>
      </c>
      <c r="Q27" s="189">
        <f t="shared" si="0"/>
        <v>47.785</v>
      </c>
      <c r="R27" s="187">
        <f t="shared" si="1"/>
        <v>13652.857142857143</v>
      </c>
      <c r="S27" s="188" t="e">
        <f>(Q27/SUM('[5]3.5.4'!R28+'[5]3.5.6'!R28+'[5]3.5.7'!R28+'[5]3.5.8'!R28+'[5]3.5.2'!G31))*100</f>
        <v>#DIV/0!</v>
      </c>
    </row>
    <row r="28" spans="1:19" ht="12.75">
      <c r="A28" s="180">
        <v>1993</v>
      </c>
      <c r="B28" s="191">
        <v>0.77</v>
      </c>
      <c r="C28" s="182" t="s">
        <v>195</v>
      </c>
      <c r="D28" s="192">
        <v>14.62</v>
      </c>
      <c r="E28" s="191">
        <v>0.77</v>
      </c>
      <c r="F28" s="191">
        <v>4.2</v>
      </c>
      <c r="G28" s="190">
        <v>9.3</v>
      </c>
      <c r="H28" s="182" t="s">
        <v>195</v>
      </c>
      <c r="I28" s="191">
        <v>5.5</v>
      </c>
      <c r="J28" s="182" t="s">
        <v>195</v>
      </c>
      <c r="K28" s="191">
        <v>1.34</v>
      </c>
      <c r="L28" s="191">
        <v>2.4</v>
      </c>
      <c r="M28" s="185">
        <v>0.61</v>
      </c>
      <c r="N28" s="185">
        <v>0.357</v>
      </c>
      <c r="O28" s="185">
        <v>1.91</v>
      </c>
      <c r="P28" s="192">
        <v>6.2</v>
      </c>
      <c r="Q28" s="189">
        <f t="shared" si="0"/>
        <v>47.977</v>
      </c>
      <c r="R28" s="187">
        <f t="shared" si="1"/>
        <v>13707.714285714286</v>
      </c>
      <c r="S28" s="188" t="e">
        <f>(Q28/SUM('[5]3.5.4'!R29+'[5]3.5.6'!R29+'[5]3.5.7'!R29+'[5]3.5.8'!R29+'[5]3.5.2'!G32))*100</f>
        <v>#DIV/0!</v>
      </c>
    </row>
    <row r="29" spans="1:19" ht="12.75">
      <c r="A29" s="180">
        <v>1994</v>
      </c>
      <c r="B29" s="184">
        <v>0.79</v>
      </c>
      <c r="C29" s="182" t="s">
        <v>195</v>
      </c>
      <c r="D29" s="183">
        <v>14.47</v>
      </c>
      <c r="E29" s="184">
        <v>0.72</v>
      </c>
      <c r="F29" s="184">
        <v>4.15</v>
      </c>
      <c r="G29" s="190">
        <v>9.3</v>
      </c>
      <c r="H29" s="182" t="s">
        <v>195</v>
      </c>
      <c r="I29" s="184">
        <v>5.1</v>
      </c>
      <c r="J29" s="182" t="s">
        <v>195</v>
      </c>
      <c r="K29" s="184">
        <v>1.39</v>
      </c>
      <c r="L29" s="184">
        <v>2.45</v>
      </c>
      <c r="M29" s="185">
        <v>0.58</v>
      </c>
      <c r="N29" s="185">
        <v>0.37</v>
      </c>
      <c r="O29" s="185">
        <v>1.89</v>
      </c>
      <c r="P29" s="183">
        <v>6.5</v>
      </c>
      <c r="Q29" s="189">
        <f t="shared" si="0"/>
        <v>47.71</v>
      </c>
      <c r="R29" s="187">
        <f t="shared" si="1"/>
        <v>13631.428571428572</v>
      </c>
      <c r="S29" s="188" t="e">
        <f>(Q29/SUM('[5]3.5.4'!R30+'[5]3.5.6'!R30+'[5]3.5.8'!R30+'[5]3.5.7'!R30+'[5]3.5.2'!G30))*100</f>
        <v>#DIV/0!</v>
      </c>
    </row>
    <row r="30" spans="1:19" ht="12.75">
      <c r="A30" s="180">
        <v>1995</v>
      </c>
      <c r="B30" s="184">
        <v>0.8</v>
      </c>
      <c r="C30" s="182" t="s">
        <v>195</v>
      </c>
      <c r="D30" s="183">
        <v>14.43</v>
      </c>
      <c r="E30" s="184">
        <v>0.74</v>
      </c>
      <c r="F30" s="184">
        <v>4.25</v>
      </c>
      <c r="G30" s="190">
        <v>8.3</v>
      </c>
      <c r="H30" s="182" t="s">
        <v>195</v>
      </c>
      <c r="I30" s="184">
        <v>5.22</v>
      </c>
      <c r="J30" s="182" t="s">
        <v>195</v>
      </c>
      <c r="K30" s="184">
        <v>1.38</v>
      </c>
      <c r="L30" s="184">
        <v>2.56</v>
      </c>
      <c r="M30" s="185">
        <v>0.53</v>
      </c>
      <c r="N30" s="185">
        <v>0.39</v>
      </c>
      <c r="O30" s="185">
        <v>1.94</v>
      </c>
      <c r="P30" s="183">
        <v>6.8</v>
      </c>
      <c r="Q30" s="189">
        <f t="shared" si="0"/>
        <v>47.34</v>
      </c>
      <c r="R30" s="187">
        <f t="shared" si="1"/>
        <v>13525.714285714286</v>
      </c>
      <c r="S30" s="188" t="e">
        <f>(Q30/SUM('[5]3.5.4'!R31+'[5]3.5.6'!R31+'[5]3.5.8'!R31+'[5]3.5.7'!R31+'[5]3.5.11'!R26))*100</f>
        <v>#DIV/0!</v>
      </c>
    </row>
    <row r="31" spans="1:19" ht="12.75">
      <c r="A31" s="180">
        <v>1996</v>
      </c>
      <c r="B31" s="193">
        <v>0.81</v>
      </c>
      <c r="C31" s="182" t="s">
        <v>195</v>
      </c>
      <c r="D31" s="183">
        <v>14.47</v>
      </c>
      <c r="E31" s="184">
        <v>0.74</v>
      </c>
      <c r="F31" s="184">
        <v>4.49</v>
      </c>
      <c r="G31" s="190">
        <v>8.8</v>
      </c>
      <c r="H31" s="182" t="s">
        <v>195</v>
      </c>
      <c r="I31" s="185">
        <v>5.32</v>
      </c>
      <c r="J31" s="182" t="s">
        <v>195</v>
      </c>
      <c r="K31" s="184">
        <v>1.39</v>
      </c>
      <c r="L31" s="185">
        <v>2.65</v>
      </c>
      <c r="M31" s="185">
        <v>0.54</v>
      </c>
      <c r="N31" s="185">
        <v>0.4</v>
      </c>
      <c r="O31" s="185">
        <v>1.98</v>
      </c>
      <c r="P31" s="194">
        <v>6.65</v>
      </c>
      <c r="Q31" s="195">
        <f t="shared" si="0"/>
        <v>48.23999999999999</v>
      </c>
      <c r="R31" s="187">
        <f t="shared" si="1"/>
        <v>13782.85714285714</v>
      </c>
      <c r="S31" s="188" t="e">
        <f>(Q31/SUM('[5]3.5.4'!R32+'[5]3.5.6'!R32+'[5]3.5.8'!R32+'[5]3.5.7'!R32+'[5]3.5.11'!R27))*100</f>
        <v>#DIV/0!</v>
      </c>
    </row>
    <row r="32" spans="1:19" ht="12.75">
      <c r="A32" s="180">
        <v>1997</v>
      </c>
      <c r="B32" s="193">
        <v>0.82</v>
      </c>
      <c r="C32" s="182" t="s">
        <v>195</v>
      </c>
      <c r="D32" s="183">
        <v>14.5</v>
      </c>
      <c r="E32" s="191">
        <v>0.75</v>
      </c>
      <c r="F32" s="184">
        <v>4.57</v>
      </c>
      <c r="G32" s="190">
        <v>9</v>
      </c>
      <c r="H32" s="182" t="s">
        <v>195</v>
      </c>
      <c r="I32" s="185">
        <v>5.3</v>
      </c>
      <c r="J32" s="182" t="s">
        <v>195</v>
      </c>
      <c r="K32" s="191">
        <v>1.4</v>
      </c>
      <c r="L32" s="191">
        <v>2.67</v>
      </c>
      <c r="M32" s="185">
        <v>0.5</v>
      </c>
      <c r="N32" s="185">
        <v>0.417</v>
      </c>
      <c r="O32" s="185">
        <v>2</v>
      </c>
      <c r="P32" s="194">
        <v>7</v>
      </c>
      <c r="Q32" s="195">
        <f t="shared" si="0"/>
        <v>48.927</v>
      </c>
      <c r="R32" s="187">
        <f t="shared" si="1"/>
        <v>13979.142857142859</v>
      </c>
      <c r="S32" s="188" t="e">
        <f>(Q32/SUM('[5]3.5.4'!R33+'[5]3.5.6'!R33+'[5]3.5.8'!R33+'[5]3.5.7'!R33+'[5]3.5.11'!R28))*100</f>
        <v>#DIV/0!</v>
      </c>
    </row>
    <row r="33" spans="1:19" ht="12.75">
      <c r="A33" s="196">
        <v>1998</v>
      </c>
      <c r="B33" s="193">
        <v>0.82</v>
      </c>
      <c r="C33" s="182" t="s">
        <v>195</v>
      </c>
      <c r="D33" s="192">
        <v>14.4</v>
      </c>
      <c r="E33" s="191">
        <v>0.8</v>
      </c>
      <c r="F33" s="184">
        <v>4.84</v>
      </c>
      <c r="G33" s="190">
        <v>9.3</v>
      </c>
      <c r="H33" s="182" t="s">
        <v>195</v>
      </c>
      <c r="I33" s="185">
        <v>5.3</v>
      </c>
      <c r="J33" s="182" t="s">
        <v>195</v>
      </c>
      <c r="K33" s="191">
        <v>1.4</v>
      </c>
      <c r="L33" s="191">
        <v>2.68</v>
      </c>
      <c r="M33" s="185">
        <v>0.55</v>
      </c>
      <c r="N33" s="185">
        <v>0.439</v>
      </c>
      <c r="O33" s="185">
        <v>2.01</v>
      </c>
      <c r="P33" s="194">
        <v>7.297</v>
      </c>
      <c r="Q33" s="195">
        <f>SUM(B33:P33)</f>
        <v>49.83599999999999</v>
      </c>
      <c r="R33" s="187">
        <f t="shared" si="1"/>
        <v>14238.857142857143</v>
      </c>
      <c r="S33" s="188" t="e">
        <f>(Q33/SUM('[5]3.5.4'!R34+'[5]3.5.6'!R34+'[5]3.5.8'!R34+'[5]3.5.7'!R34+'[5]3.5.11'!R29))*100</f>
        <v>#DIV/0!</v>
      </c>
    </row>
    <row r="34" spans="1:19" ht="12.75">
      <c r="A34" s="196">
        <v>1999</v>
      </c>
      <c r="B34" s="193">
        <v>0.82</v>
      </c>
      <c r="C34" s="182" t="s">
        <v>195</v>
      </c>
      <c r="D34" s="192">
        <v>14.5</v>
      </c>
      <c r="E34" s="191">
        <v>0.81</v>
      </c>
      <c r="F34" s="191">
        <v>5.06</v>
      </c>
      <c r="G34" s="190">
        <v>9.7</v>
      </c>
      <c r="H34" s="182" t="s">
        <v>195</v>
      </c>
      <c r="I34" s="185">
        <v>5.2</v>
      </c>
      <c r="J34" s="182" t="s">
        <v>195</v>
      </c>
      <c r="K34" s="191">
        <v>1.42</v>
      </c>
      <c r="L34" s="191">
        <v>2.73</v>
      </c>
      <c r="M34" s="185">
        <v>0.56</v>
      </c>
      <c r="N34" s="185">
        <v>0.48</v>
      </c>
      <c r="O34" s="185">
        <v>2.06</v>
      </c>
      <c r="P34" s="194">
        <v>7.8</v>
      </c>
      <c r="Q34" s="197">
        <f>SUM(B34:P34)</f>
        <v>51.13999999999999</v>
      </c>
      <c r="R34" s="187">
        <f t="shared" si="1"/>
        <v>14611.42857142857</v>
      </c>
      <c r="S34" s="198" t="e">
        <f>(Q34/SUM('[5]3.5.4'!R35+'[5]3.5.6'!R35+'[5]3.5.8'!R35+'[5]3.5.7'!R35+'[5]3.5.11'!R30))*100</f>
        <v>#DIV/0!</v>
      </c>
    </row>
    <row r="35" spans="1:19" ht="12.75">
      <c r="A35" s="196">
        <v>2000</v>
      </c>
      <c r="B35" s="199">
        <v>0.87</v>
      </c>
      <c r="C35" s="200" t="s">
        <v>195</v>
      </c>
      <c r="D35" s="201">
        <v>14.6</v>
      </c>
      <c r="E35" s="202">
        <v>1.19</v>
      </c>
      <c r="F35" s="202">
        <v>5.23</v>
      </c>
      <c r="G35" s="203">
        <v>10.1</v>
      </c>
      <c r="H35" s="204" t="s">
        <v>195</v>
      </c>
      <c r="I35" s="205">
        <v>5.4</v>
      </c>
      <c r="J35" s="204" t="s">
        <v>195</v>
      </c>
      <c r="K35" s="202">
        <v>1.43</v>
      </c>
      <c r="L35" s="202">
        <v>2.76</v>
      </c>
      <c r="M35" s="205">
        <v>0.58</v>
      </c>
      <c r="N35" s="205">
        <v>0.5</v>
      </c>
      <c r="O35" s="205">
        <v>2.14</v>
      </c>
      <c r="P35" s="206">
        <v>8.3</v>
      </c>
      <c r="Q35" s="197">
        <f>SUM(B35:P35)</f>
        <v>53.099999999999994</v>
      </c>
      <c r="R35" s="207">
        <f t="shared" si="1"/>
        <v>15171.428571428569</v>
      </c>
      <c r="S35" s="208" t="e">
        <f>(Q35/SUM('[5]3.5.4'!R36+'[5]3.5.6'!R36+'[5]3.5.8'!R36+'[5]3.5.7'!R36+'[5]3.5.11'!R31))*100</f>
        <v>#DIV/0!</v>
      </c>
    </row>
    <row r="36" spans="1:19" ht="12.75">
      <c r="A36" s="209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170"/>
      <c r="S36" s="170"/>
    </row>
    <row r="37" spans="1:19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70"/>
      <c r="S37" s="211"/>
    </row>
    <row r="38" spans="1:19" ht="12.75">
      <c r="A38" s="228"/>
      <c r="B38" s="225"/>
      <c r="C38" s="226"/>
      <c r="D38" s="225"/>
      <c r="E38" s="225"/>
      <c r="F38" s="225"/>
      <c r="G38" s="227"/>
      <c r="H38" s="182"/>
      <c r="I38" s="227"/>
      <c r="J38" s="182"/>
      <c r="K38" s="225"/>
      <c r="L38" s="225"/>
      <c r="M38" s="227"/>
      <c r="N38" s="227"/>
      <c r="O38" s="227"/>
      <c r="P38" s="227"/>
      <c r="Q38" s="229"/>
      <c r="R38" s="212"/>
      <c r="S38" s="211"/>
    </row>
    <row r="39" spans="1:19" ht="12.75">
      <c r="A39" s="7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170"/>
      <c r="S39" s="211"/>
    </row>
    <row r="40" spans="1:19" ht="11.25">
      <c r="A40" s="47" t="s">
        <v>196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2.75">
      <c r="A41" s="214" t="s">
        <v>197</v>
      </c>
      <c r="B41" s="7"/>
      <c r="C41" s="7"/>
      <c r="D41" s="7"/>
      <c r="E41" s="7"/>
      <c r="F41" s="7"/>
      <c r="H41" s="7"/>
      <c r="I41" s="7"/>
      <c r="J41" s="7"/>
      <c r="K41" s="7"/>
      <c r="L41" s="7"/>
      <c r="M41" s="7"/>
      <c r="N41" s="7"/>
      <c r="O41" s="7"/>
      <c r="P41" s="7"/>
      <c r="Q41" s="171"/>
      <c r="R41" s="170"/>
      <c r="S41" s="170"/>
    </row>
    <row r="42" spans="1:19" ht="11.25">
      <c r="A42" s="215" t="s">
        <v>198</v>
      </c>
      <c r="Q42" s="216"/>
      <c r="R42" s="217"/>
      <c r="S42" s="218"/>
    </row>
    <row r="43" spans="1:19" ht="11.25">
      <c r="A43" s="83" t="s">
        <v>199</v>
      </c>
      <c r="Q43" s="216"/>
      <c r="R43" s="217"/>
      <c r="S43" s="2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C33" sqref="C33"/>
    </sheetView>
  </sheetViews>
  <sheetFormatPr defaultColWidth="9.140625" defaultRowHeight="12.75"/>
  <cols>
    <col min="1" max="6" width="9.140625" style="6" customWidth="1"/>
    <col min="7" max="7" width="11.421875" style="6" customWidth="1"/>
    <col min="8" max="16384" width="9.140625" style="6" customWidth="1"/>
  </cols>
  <sheetData>
    <row r="2" ht="11.25">
      <c r="A2" s="2" t="s">
        <v>375</v>
      </c>
    </row>
    <row r="4" spans="2:7" ht="11.25">
      <c r="B4" s="6" t="s">
        <v>374</v>
      </c>
      <c r="C4" s="6" t="s">
        <v>237</v>
      </c>
      <c r="D4" s="6" t="s">
        <v>373</v>
      </c>
      <c r="E4" s="6" t="s">
        <v>372</v>
      </c>
      <c r="F4" s="6" t="s">
        <v>371</v>
      </c>
      <c r="G4" s="6" t="s">
        <v>370</v>
      </c>
    </row>
    <row r="6" spans="1:7" ht="11.25">
      <c r="A6" s="6" t="s">
        <v>7</v>
      </c>
      <c r="B6" s="369">
        <v>106.13</v>
      </c>
      <c r="C6" s="369">
        <v>7.732</v>
      </c>
      <c r="D6" s="369">
        <v>13.19</v>
      </c>
      <c r="E6" s="369">
        <v>19.378688999999998</v>
      </c>
      <c r="F6" s="369">
        <v>1.45</v>
      </c>
      <c r="G6" s="369">
        <v>0.87</v>
      </c>
    </row>
    <row r="7" spans="1:7" ht="11.25">
      <c r="A7" s="6" t="s">
        <v>8</v>
      </c>
      <c r="B7" s="369">
        <v>59.124</v>
      </c>
      <c r="C7" s="369">
        <v>4.145</v>
      </c>
      <c r="D7" s="369">
        <v>9.133</v>
      </c>
      <c r="E7" s="369">
        <v>6.4706534285714294</v>
      </c>
      <c r="F7" s="369">
        <v>0.711</v>
      </c>
      <c r="G7" s="369">
        <v>0</v>
      </c>
    </row>
    <row r="8" spans="1:7" ht="11.25">
      <c r="A8" s="6" t="s">
        <v>9</v>
      </c>
      <c r="B8" s="369">
        <v>714.5020218432942</v>
      </c>
      <c r="C8" s="369">
        <v>75.037</v>
      </c>
      <c r="D8" s="369">
        <v>77.33771899999999</v>
      </c>
      <c r="E8" s="369">
        <v>94.16955200000001</v>
      </c>
      <c r="F8" s="369">
        <v>16.7</v>
      </c>
      <c r="G8" s="369">
        <v>14.6</v>
      </c>
    </row>
    <row r="9" spans="1:7" ht="11.25">
      <c r="A9" s="6" t="s">
        <v>10</v>
      </c>
      <c r="B9" s="369">
        <v>34.014</v>
      </c>
      <c r="C9" s="369">
        <v>1.63</v>
      </c>
      <c r="D9" s="369">
        <v>6.064</v>
      </c>
      <c r="E9" s="369">
        <v>8.859508</v>
      </c>
      <c r="F9" s="369">
        <v>19.2</v>
      </c>
      <c r="G9" s="369">
        <v>1.19</v>
      </c>
    </row>
    <row r="10" spans="1:7" ht="11.25">
      <c r="A10" s="6" t="s">
        <v>11</v>
      </c>
      <c r="B10" s="369">
        <v>302.611</v>
      </c>
      <c r="C10" s="369">
        <v>18.547</v>
      </c>
      <c r="D10" s="369">
        <v>50.278</v>
      </c>
      <c r="E10" s="369">
        <v>45.463477</v>
      </c>
      <c r="F10" s="369">
        <v>14.34</v>
      </c>
      <c r="G10" s="369">
        <v>5.23</v>
      </c>
    </row>
    <row r="11" spans="1:7" ht="11.25">
      <c r="A11" s="6" t="s">
        <v>12</v>
      </c>
      <c r="B11" s="369">
        <v>699.6</v>
      </c>
      <c r="C11" s="369">
        <v>69.9</v>
      </c>
      <c r="D11" s="369">
        <v>45.3</v>
      </c>
      <c r="E11" s="369">
        <v>91.80128999999998</v>
      </c>
      <c r="F11" s="369">
        <v>12.3</v>
      </c>
      <c r="G11" s="369">
        <v>10.1</v>
      </c>
    </row>
    <row r="12" spans="1:7" ht="11.25">
      <c r="A12" s="6" t="s">
        <v>13</v>
      </c>
      <c r="B12" s="369">
        <v>32.39145524831953</v>
      </c>
      <c r="C12" s="369">
        <v>1.39</v>
      </c>
      <c r="D12" s="369">
        <v>6.277346777505395</v>
      </c>
      <c r="E12" s="369">
        <v>8.888677</v>
      </c>
      <c r="F12" s="369">
        <v>0.37</v>
      </c>
      <c r="G12" s="369">
        <v>0</v>
      </c>
    </row>
    <row r="13" spans="1:7" ht="11.25">
      <c r="A13" s="6" t="s">
        <v>14</v>
      </c>
      <c r="B13" s="369">
        <v>665.206</v>
      </c>
      <c r="C13" s="369">
        <v>43.752</v>
      </c>
      <c r="D13" s="369">
        <v>93.956</v>
      </c>
      <c r="E13" s="369">
        <v>40.618182999999995</v>
      </c>
      <c r="F13" s="369">
        <v>66.9</v>
      </c>
      <c r="G13" s="369">
        <v>5.4</v>
      </c>
    </row>
    <row r="14" spans="1:7" ht="11.25">
      <c r="A14" s="6" t="s">
        <v>15</v>
      </c>
      <c r="B14" s="369">
        <v>5.102198727619278</v>
      </c>
      <c r="C14" s="369">
        <v>0.332</v>
      </c>
      <c r="D14" s="369">
        <v>0.8298464039608895</v>
      </c>
      <c r="E14" s="369">
        <v>0.557327</v>
      </c>
      <c r="F14" s="369">
        <v>0.06</v>
      </c>
      <c r="G14" s="369">
        <v>0</v>
      </c>
    </row>
    <row r="15" spans="1:7" ht="11.25">
      <c r="A15" s="6" t="s">
        <v>16</v>
      </c>
      <c r="B15" s="369">
        <v>141.1</v>
      </c>
      <c r="C15" s="369">
        <v>15.4</v>
      </c>
      <c r="D15" s="369">
        <v>7.5</v>
      </c>
      <c r="E15" s="369">
        <v>60.326619</v>
      </c>
      <c r="F15" s="369">
        <v>2.77</v>
      </c>
      <c r="G15" s="369">
        <v>1.43</v>
      </c>
    </row>
    <row r="16" spans="1:7" ht="11.25">
      <c r="A16" s="6" t="s">
        <v>17</v>
      </c>
      <c r="B16" s="369">
        <v>73.64626593408497</v>
      </c>
      <c r="C16" s="369">
        <v>8.206</v>
      </c>
      <c r="D16" s="369">
        <v>14.215948669154756</v>
      </c>
      <c r="E16" s="369">
        <v>8.798959</v>
      </c>
      <c r="F16" s="369">
        <v>1.62</v>
      </c>
      <c r="G16" s="369">
        <v>2.76</v>
      </c>
    </row>
    <row r="17" spans="1:7" ht="11.25">
      <c r="A17" s="6" t="s">
        <v>18</v>
      </c>
      <c r="B17" s="369">
        <v>81.323</v>
      </c>
      <c r="C17" s="369">
        <v>3.83</v>
      </c>
      <c r="D17" s="369">
        <v>11.828</v>
      </c>
      <c r="E17" s="369">
        <v>10.385019</v>
      </c>
      <c r="F17" s="369">
        <v>7.04</v>
      </c>
      <c r="G17" s="369">
        <v>0.58</v>
      </c>
    </row>
    <row r="18" spans="1:7" ht="11.25">
      <c r="A18" s="6" t="s">
        <v>19</v>
      </c>
      <c r="B18" s="369">
        <v>55.7</v>
      </c>
      <c r="C18" s="369">
        <v>3.41</v>
      </c>
      <c r="D18" s="369">
        <v>7.7</v>
      </c>
      <c r="E18" s="369">
        <v>7.467182</v>
      </c>
      <c r="F18" s="369">
        <v>0.9</v>
      </c>
      <c r="G18" s="369">
        <v>0.5</v>
      </c>
    </row>
    <row r="19" spans="1:7" ht="11.25">
      <c r="A19" s="6" t="s">
        <v>20</v>
      </c>
      <c r="B19" s="369">
        <v>92.88436658891044</v>
      </c>
      <c r="C19" s="369">
        <v>8.230114499999999</v>
      </c>
      <c r="D19" s="369">
        <v>8.873652062459986</v>
      </c>
      <c r="E19" s="369">
        <v>16.17663357142857</v>
      </c>
      <c r="F19" s="369">
        <v>0.8</v>
      </c>
      <c r="G19" s="369">
        <v>2.14</v>
      </c>
    </row>
    <row r="20" spans="1:7" ht="11.25">
      <c r="A20" s="6" t="s">
        <v>21</v>
      </c>
      <c r="B20" s="369">
        <v>613</v>
      </c>
      <c r="C20" s="369">
        <v>39.1</v>
      </c>
      <c r="D20" s="369">
        <v>45</v>
      </c>
      <c r="E20" s="369">
        <v>122.726432</v>
      </c>
      <c r="F20" s="369">
        <v>5</v>
      </c>
      <c r="G20" s="369">
        <v>8.3</v>
      </c>
    </row>
    <row r="21" spans="1:7" ht="11.25">
      <c r="A21" s="6" t="s">
        <v>112</v>
      </c>
      <c r="B21" s="369">
        <v>3.774</v>
      </c>
      <c r="C21" s="369">
        <v>0</v>
      </c>
      <c r="D21" s="369">
        <v>0.476</v>
      </c>
      <c r="E21" s="369" t="s">
        <v>195</v>
      </c>
      <c r="F21" s="369" t="s">
        <v>195</v>
      </c>
      <c r="G21" s="369" t="s">
        <v>195</v>
      </c>
    </row>
    <row r="22" spans="1:7" ht="11.25">
      <c r="A22" s="6" t="s">
        <v>113</v>
      </c>
      <c r="B22" s="369">
        <v>48.86</v>
      </c>
      <c r="C22" s="369">
        <v>2.78</v>
      </c>
      <c r="D22" s="369">
        <v>4.42</v>
      </c>
      <c r="E22" s="369" t="s">
        <v>195</v>
      </c>
      <c r="F22" s="369" t="s">
        <v>195</v>
      </c>
      <c r="G22" s="369" t="s">
        <v>195</v>
      </c>
    </row>
    <row r="23" spans="1:7" ht="11.25">
      <c r="A23" s="6" t="s">
        <v>5</v>
      </c>
      <c r="B23" s="369">
        <v>3676.334308342228</v>
      </c>
      <c r="C23" s="369">
        <v>300.6411145</v>
      </c>
      <c r="D23" s="369">
        <v>397.48351291308103</v>
      </c>
      <c r="E23" s="369">
        <v>542.088201</v>
      </c>
      <c r="F23" s="369">
        <v>150.16100000000003</v>
      </c>
      <c r="G23" s="369">
        <v>53.1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S52"/>
  <sheetViews>
    <sheetView workbookViewId="0" topLeftCell="A1">
      <selection activeCell="M4" sqref="M4:M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120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105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2"/>
    </row>
    <row r="3" spans="1:17" ht="11.25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2"/>
    </row>
    <row r="4" spans="1:19" ht="11.25">
      <c r="A4" s="106"/>
      <c r="B4" s="106" t="s">
        <v>5</v>
      </c>
      <c r="C4" s="106" t="s">
        <v>7</v>
      </c>
      <c r="D4" s="106" t="s">
        <v>8</v>
      </c>
      <c r="E4" s="106" t="s">
        <v>9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06" t="s">
        <v>15</v>
      </c>
      <c r="L4" s="106" t="s">
        <v>16</v>
      </c>
      <c r="M4" s="106" t="s">
        <v>17</v>
      </c>
      <c r="N4" s="106" t="s">
        <v>18</v>
      </c>
      <c r="O4" s="106" t="s">
        <v>19</v>
      </c>
      <c r="P4" s="106" t="s">
        <v>20</v>
      </c>
      <c r="Q4" s="106" t="s">
        <v>21</v>
      </c>
      <c r="R4" s="6" t="s">
        <v>112</v>
      </c>
      <c r="S4" s="6" t="s">
        <v>113</v>
      </c>
    </row>
    <row r="5" spans="1:19" ht="11.25">
      <c r="A5" s="107">
        <v>1991</v>
      </c>
      <c r="B5" s="28">
        <f>IF(basedata_pt_ra!S5=":",NA(),basedata_pt_ra!S5)</f>
        <v>265.159588</v>
      </c>
      <c r="C5" s="28">
        <f>IF(basedata_pt_ra!B5=":",NA(),basedata_pt_ra!B5)</f>
        <v>6.771</v>
      </c>
      <c r="D5" s="28">
        <f>IF(basedata_pt_ra!C5=":",NA(),basedata_pt_ra!C5)</f>
        <v>3.468</v>
      </c>
      <c r="E5" s="28">
        <f>IF(basedata_pt_ra!D5=":",NA(),basedata_pt_ra!D5)</f>
        <v>57.034</v>
      </c>
      <c r="F5" s="28">
        <f>IF(basedata_pt_ra!E5=":",NA(),basedata_pt_ra!E5)</f>
        <v>1.995</v>
      </c>
      <c r="G5" s="28">
        <f>IF(basedata_pt_ra!F5=":",NA(),basedata_pt_ra!F5)</f>
        <v>15.022</v>
      </c>
      <c r="H5" s="28">
        <f>IF(basedata_pt_ra!G5=":",NA(),basedata_pt_ra!G5)</f>
        <v>62.301</v>
      </c>
      <c r="I5" s="28">
        <f>IF(basedata_pt_ra!H5=":",NA(),basedata_pt_ra!H5)</f>
        <v>1.29</v>
      </c>
      <c r="J5" s="28">
        <f>IF(basedata_pt_ra!I5=":",NA(),basedata_pt_ra!I5)</f>
        <v>45.065</v>
      </c>
      <c r="K5" s="28">
        <f>IF(basedata_pt_ra!J5=":",NA(),basedata_pt_ra!J5)</f>
        <v>0.272</v>
      </c>
      <c r="L5" s="28">
        <f>IF(basedata_pt_ra!K5=":",NA(),basedata_pt_ra!K5)</f>
        <v>15.195</v>
      </c>
      <c r="M5" s="28">
        <f>IF(basedata_pt_ra!L5=":",NA(),basedata_pt_ra!L5)</f>
        <v>9.38</v>
      </c>
      <c r="N5" s="28">
        <f>IF(basedata_pt_ra!M5=":",NA(),basedata_pt_ra!M5)</f>
        <v>5.691888</v>
      </c>
      <c r="O5" s="28">
        <f>IF(basedata_pt_ra!N5=":",NA(),basedata_pt_ra!N5)</f>
        <v>3.23</v>
      </c>
      <c r="P5" s="28">
        <f>IF(basedata_pt_ra!O5=":",NA(),basedata_pt_ra!O5)</f>
        <v>5.7447</v>
      </c>
      <c r="Q5" s="28">
        <f>IF(basedata_pt_ra!P5=":",NA(),basedata_pt_ra!P5)</f>
        <v>32.7</v>
      </c>
      <c r="R5" s="28">
        <f>IF(basedata_pt_ra!Q5=":",NA(),basedata_pt_ra!Q5)</f>
        <v>0</v>
      </c>
      <c r="S5" s="28">
        <f>IF(basedata_pt_ra!R5=":",NA(),basedata_pt_ra!R5)</f>
        <v>2.07</v>
      </c>
    </row>
    <row r="6" spans="1:19" ht="11.25">
      <c r="A6" s="107">
        <v>1992</v>
      </c>
      <c r="B6" s="28">
        <f>IF(basedata_pt_ra!S6=":",NA(),basedata_pt_ra!S6)</f>
        <v>265.039721</v>
      </c>
      <c r="C6" s="28">
        <f>IF(basedata_pt_ra!B6=":",NA(),basedata_pt_ra!B6)</f>
        <v>6.798</v>
      </c>
      <c r="D6" s="28">
        <f>IF(basedata_pt_ra!C6=":",NA(),basedata_pt_ra!C6)</f>
        <v>3.561</v>
      </c>
      <c r="E6" s="28">
        <f>IF(basedata_pt_ra!D6=":",NA(),basedata_pt_ra!D6)</f>
        <v>57.24</v>
      </c>
      <c r="F6" s="28">
        <f>IF(basedata_pt_ra!E6=":",NA(),basedata_pt_ra!E6)</f>
        <v>2.046</v>
      </c>
      <c r="G6" s="28">
        <f>IF(basedata_pt_ra!F6=":",NA(),basedata_pt_ra!F6)</f>
        <v>16.302</v>
      </c>
      <c r="H6" s="28">
        <f>IF(basedata_pt_ra!G6=":",NA(),basedata_pt_ra!G6)</f>
        <v>62.257</v>
      </c>
      <c r="I6" s="28">
        <f>IF(basedata_pt_ra!H6=":",NA(),basedata_pt_ra!H6)</f>
        <v>1.226</v>
      </c>
      <c r="J6" s="28">
        <f>IF(basedata_pt_ra!I6=":",NA(),basedata_pt_ra!I6)</f>
        <v>44.408</v>
      </c>
      <c r="K6" s="28">
        <f>IF(basedata_pt_ra!J6=":",NA(),basedata_pt_ra!J6)</f>
        <v>0.255</v>
      </c>
      <c r="L6" s="28">
        <f>IF(basedata_pt_ra!K6=":",NA(),basedata_pt_ra!K6)</f>
        <v>14.98</v>
      </c>
      <c r="M6" s="28">
        <f>IF(basedata_pt_ra!L6=":",NA(),basedata_pt_ra!L6)</f>
        <v>9.731</v>
      </c>
      <c r="N6" s="28">
        <f>IF(basedata_pt_ra!M6=":",NA(),basedata_pt_ra!M6)</f>
        <v>5.694121</v>
      </c>
      <c r="O6" s="28">
        <f>IF(basedata_pt_ra!N6=":",NA(),basedata_pt_ra!N6)</f>
        <v>3.057</v>
      </c>
      <c r="P6" s="28">
        <f>IF(basedata_pt_ra!O6=":",NA(),basedata_pt_ra!O6)</f>
        <v>5.5846</v>
      </c>
      <c r="Q6" s="28">
        <f>IF(basedata_pt_ra!P6=":",NA(),basedata_pt_ra!P6)</f>
        <v>31.9</v>
      </c>
      <c r="R6" s="28">
        <f>IF(basedata_pt_ra!Q6=":",NA(),basedata_pt_ra!Q6)</f>
        <v>0</v>
      </c>
      <c r="S6" s="28">
        <f>IF(basedata_pt_ra!R6=":",NA(),basedata_pt_ra!R6)</f>
        <v>2.16</v>
      </c>
    </row>
    <row r="7" spans="1:19" ht="11.25">
      <c r="A7" s="107">
        <v>1993</v>
      </c>
      <c r="B7" s="28">
        <f>IF(basedata_pt_ra!S7=":",NA(),basedata_pt_ra!S7)</f>
        <v>257.42368899900003</v>
      </c>
      <c r="C7" s="28">
        <f>IF(basedata_pt_ra!B7=":",NA(),basedata_pt_ra!B7)</f>
        <v>6.694</v>
      </c>
      <c r="D7" s="28">
        <f>IF(basedata_pt_ra!C7=":",NA(),basedata_pt_ra!C7)</f>
        <v>3.525</v>
      </c>
      <c r="E7" s="28">
        <f>IF(basedata_pt_ra!D7=":",NA(),basedata_pt_ra!D7)</f>
        <v>58.003</v>
      </c>
      <c r="F7" s="28">
        <f>IF(basedata_pt_ra!E7=":",NA(),basedata_pt_ra!E7)</f>
        <v>1.726</v>
      </c>
      <c r="G7" s="28">
        <f>IF(basedata_pt_ra!F7=":",NA(),basedata_pt_ra!F7)</f>
        <v>15.234</v>
      </c>
      <c r="H7" s="28">
        <f>IF(basedata_pt_ra!G7=":",NA(),basedata_pt_ra!G7)</f>
        <v>58.603</v>
      </c>
      <c r="I7" s="28">
        <f>IF(basedata_pt_ra!H7=":",NA(),basedata_pt_ra!H7)</f>
        <v>1.274</v>
      </c>
      <c r="J7" s="28">
        <f>IF(basedata_pt_ra!I7=":",NA(),basedata_pt_ra!I7)</f>
        <v>42.72</v>
      </c>
      <c r="K7" s="28">
        <f>IF(basedata_pt_ra!J7=":",NA(),basedata_pt_ra!J7)</f>
        <v>0.262</v>
      </c>
      <c r="L7" s="28">
        <f>IF(basedata_pt_ra!K7=":",NA(),basedata_pt_ra!K7)</f>
        <v>14.788</v>
      </c>
      <c r="M7" s="28">
        <f>IF(basedata_pt_ra!L7=":",NA(),basedata_pt_ra!L7)</f>
        <v>9.6</v>
      </c>
      <c r="N7" s="28">
        <f>IF(basedata_pt_ra!M7=":",NA(),basedata_pt_ra!M7)</f>
        <v>5.397097</v>
      </c>
      <c r="O7" s="28">
        <f>IF(basedata_pt_ra!N7=":",NA(),basedata_pt_ra!N7)</f>
        <v>3.007</v>
      </c>
      <c r="P7" s="28">
        <f>IF(basedata_pt_ra!O7=":",NA(),basedata_pt_ra!O7)</f>
        <v>5.990591998999999</v>
      </c>
      <c r="Q7" s="28">
        <f>IF(basedata_pt_ra!P7=":",NA(),basedata_pt_ra!P7)</f>
        <v>30.6</v>
      </c>
      <c r="R7" s="28">
        <f>IF(basedata_pt_ra!Q7=":",NA(),basedata_pt_ra!Q7)</f>
        <v>0</v>
      </c>
      <c r="S7" s="28">
        <f>IF(basedata_pt_ra!R7=":",NA(),basedata_pt_ra!R7)</f>
        <v>2.22</v>
      </c>
    </row>
    <row r="8" spans="1:19" ht="11.25">
      <c r="A8" s="107">
        <v>1994</v>
      </c>
      <c r="B8" s="28">
        <f>IF(basedata_pt_ra!S8=":",NA(),basedata_pt_ra!S8)</f>
        <v>258.76317199999994</v>
      </c>
      <c r="C8" s="28">
        <f>IF(basedata_pt_ra!B8=":",NA(),basedata_pt_ra!B8)</f>
        <v>6.638</v>
      </c>
      <c r="D8" s="28">
        <f>IF(basedata_pt_ra!C8=":",NA(),basedata_pt_ra!C8)</f>
        <v>3.623</v>
      </c>
      <c r="E8" s="28">
        <f>IF(basedata_pt_ra!D8=":",NA(),basedata_pt_ra!D8)</f>
        <v>61.327</v>
      </c>
      <c r="F8" s="28">
        <f>IF(basedata_pt_ra!E8=":",NA(),basedata_pt_ra!E8)</f>
        <v>1.399</v>
      </c>
      <c r="G8" s="28">
        <f>IF(basedata_pt_ra!F8=":",NA(),basedata_pt_ra!F8)</f>
        <v>14.853</v>
      </c>
      <c r="H8" s="28">
        <f>IF(basedata_pt_ra!G8=":",NA(),basedata_pt_ra!G8)</f>
        <v>58.928</v>
      </c>
      <c r="I8" s="28">
        <f>IF(basedata_pt_ra!H8=":",NA(),basedata_pt_ra!H8)</f>
        <v>1.26</v>
      </c>
      <c r="J8" s="28">
        <f>IF(basedata_pt_ra!I8=":",NA(),basedata_pt_ra!I8)</f>
        <v>43.375</v>
      </c>
      <c r="K8" s="28">
        <f>IF(basedata_pt_ra!J8=":",NA(),basedata_pt_ra!J8)</f>
        <v>0.289</v>
      </c>
      <c r="L8" s="28">
        <f>IF(basedata_pt_ra!K8=":",NA(),basedata_pt_ra!K8)</f>
        <v>14.439</v>
      </c>
      <c r="M8" s="28">
        <f>IF(basedata_pt_ra!L8=":",NA(),basedata_pt_ra!L8)</f>
        <v>9.384</v>
      </c>
      <c r="N8" s="28">
        <f>IF(basedata_pt_ra!M8=":",NA(),basedata_pt_ra!M8)</f>
        <v>5.149241</v>
      </c>
      <c r="O8" s="28">
        <f>IF(basedata_pt_ra!N8=":",NA(),basedata_pt_ra!N8)</f>
        <v>3.037</v>
      </c>
      <c r="P8" s="28">
        <f>IF(basedata_pt_ra!O8=":",NA(),basedata_pt_ra!O8)</f>
        <v>6.061930999999999</v>
      </c>
      <c r="Q8" s="28">
        <f>IF(basedata_pt_ra!P8=":",NA(),basedata_pt_ra!P8)</f>
        <v>29</v>
      </c>
      <c r="R8" s="28">
        <f>IF(basedata_pt_ra!Q8=":",NA(),basedata_pt_ra!Q8)</f>
        <v>0</v>
      </c>
      <c r="S8" s="28">
        <f>IF(basedata_pt_ra!R8=":",NA(),basedata_pt_ra!R8)</f>
        <v>2.33</v>
      </c>
    </row>
    <row r="9" spans="1:19" ht="11.25">
      <c r="A9" s="107">
        <v>1995</v>
      </c>
      <c r="B9" s="28">
        <f>IF(basedata_pt_ra!S9=":",NA(),basedata_pt_ra!S9)</f>
        <v>271.43261558800003</v>
      </c>
      <c r="C9" s="28">
        <f>IF(basedata_pt_ra!B9=":",NA(),basedata_pt_ra!B9)</f>
        <v>6.757</v>
      </c>
      <c r="D9" s="28">
        <f>IF(basedata_pt_ra!C9=":",NA(),basedata_pt_ra!C9)</f>
        <v>3.471</v>
      </c>
      <c r="E9" s="28">
        <f>IF(basedata_pt_ra!D9=":",NA(),basedata_pt_ra!D9)</f>
        <v>74.97</v>
      </c>
      <c r="F9" s="28">
        <f>IF(basedata_pt_ra!E9=":",NA(),basedata_pt_ra!E9)</f>
        <v>1.568</v>
      </c>
      <c r="G9" s="28">
        <f>IF(basedata_pt_ra!F9=":",NA(),basedata_pt_ra!F9)</f>
        <v>15.313</v>
      </c>
      <c r="H9" s="28">
        <f>IF(basedata_pt_ra!G9=":",NA(),basedata_pt_ra!G9)</f>
        <v>55.563</v>
      </c>
      <c r="I9" s="28">
        <f>IF(basedata_pt_ra!H9=":",NA(),basedata_pt_ra!H9)</f>
        <v>1.291</v>
      </c>
      <c r="J9" s="28">
        <f>IF(basedata_pt_ra!I9=":",NA(),basedata_pt_ra!I9)</f>
        <v>43.859</v>
      </c>
      <c r="K9" s="28">
        <f>IF(basedata_pt_ra!J9=":",NA(),basedata_pt_ra!J9)</f>
        <v>0.287</v>
      </c>
      <c r="L9" s="28">
        <f>IF(basedata_pt_ra!K9=":",NA(),basedata_pt_ra!K9)</f>
        <v>13.977</v>
      </c>
      <c r="M9" s="28">
        <f>IF(basedata_pt_ra!L9=":",NA(),basedata_pt_ra!L9)</f>
        <v>9.8</v>
      </c>
      <c r="N9" s="28">
        <f>IF(basedata_pt_ra!M9=":",NA(),basedata_pt_ra!M9)</f>
        <v>4.839683</v>
      </c>
      <c r="O9" s="28">
        <f>IF(basedata_pt_ra!N9=":",NA(),basedata_pt_ra!N9)</f>
        <v>3.184</v>
      </c>
      <c r="P9" s="28">
        <f>IF(basedata_pt_ra!O9=":",NA(),basedata_pt_ra!O9)</f>
        <v>6.352932588000001</v>
      </c>
      <c r="Q9" s="28">
        <f>IF(basedata_pt_ra!P9=":",NA(),basedata_pt_ra!P9)</f>
        <v>30.2</v>
      </c>
      <c r="R9" s="28">
        <f>IF(basedata_pt_ra!Q9=":",NA(),basedata_pt_ra!Q9)</f>
        <v>0</v>
      </c>
      <c r="S9" s="28">
        <f>IF(basedata_pt_ra!R9=":",NA(),basedata_pt_ra!R9)</f>
        <v>2.3</v>
      </c>
    </row>
    <row r="10" spans="1:19" ht="11.25">
      <c r="A10" s="107">
        <v>1996</v>
      </c>
      <c r="B10" s="28">
        <f>IF(basedata_pt_ra!S10=":",NA(),basedata_pt_ra!S10)</f>
        <v>280.023194995</v>
      </c>
      <c r="C10" s="28">
        <f>IF(basedata_pt_ra!B10=":",NA(),basedata_pt_ra!B10)</f>
        <v>6.788</v>
      </c>
      <c r="D10" s="28">
        <f>IF(basedata_pt_ra!C10=":",NA(),basedata_pt_ra!C10)</f>
        <v>3.418</v>
      </c>
      <c r="E10" s="28">
        <f>IF(basedata_pt_ra!D10=":",NA(),basedata_pt_ra!D10)</f>
        <v>75.9752</v>
      </c>
      <c r="F10" s="28">
        <f>IF(basedata_pt_ra!E10=":",NA(),basedata_pt_ra!E10)</f>
        <v>1.751</v>
      </c>
      <c r="G10" s="28">
        <f>IF(basedata_pt_ra!F10=":",NA(),basedata_pt_ra!F10)</f>
        <v>15.605</v>
      </c>
      <c r="H10" s="28">
        <f>IF(basedata_pt_ra!G10=":",NA(),basedata_pt_ra!G10)</f>
        <v>59.773</v>
      </c>
      <c r="I10" s="28">
        <f>IF(basedata_pt_ra!H10=":",NA(),basedata_pt_ra!H10)</f>
        <v>1.295</v>
      </c>
      <c r="J10" s="28">
        <f>IF(basedata_pt_ra!I10=":",NA(),basedata_pt_ra!I10)</f>
        <v>44.782</v>
      </c>
      <c r="K10" s="28">
        <f>IF(basedata_pt_ra!J10=":",NA(),basedata_pt_ra!J10)</f>
        <v>0.284</v>
      </c>
      <c r="L10" s="28">
        <f>IF(basedata_pt_ra!K10=":",NA(),basedata_pt_ra!K10)</f>
        <v>14.091</v>
      </c>
      <c r="M10" s="28">
        <f>IF(basedata_pt_ra!L10=":",NA(),basedata_pt_ra!L10)</f>
        <v>9.82</v>
      </c>
      <c r="N10" s="28">
        <f>IF(basedata_pt_ra!M10=":",NA(),basedata_pt_ra!M10)</f>
        <v>4.5031989999999995</v>
      </c>
      <c r="O10" s="28">
        <f>IF(basedata_pt_ra!N10=":",NA(),basedata_pt_ra!N10)</f>
        <v>3.254</v>
      </c>
      <c r="P10" s="28">
        <f>IF(basedata_pt_ra!O10=":",NA(),basedata_pt_ra!O10)</f>
        <v>6.383795995000001</v>
      </c>
      <c r="Q10" s="28">
        <f>IF(basedata_pt_ra!P10=":",NA(),basedata_pt_ra!P10)</f>
        <v>32.3</v>
      </c>
      <c r="R10" s="28">
        <f>IF(basedata_pt_ra!Q10=":",NA(),basedata_pt_ra!Q10)</f>
        <v>0</v>
      </c>
      <c r="S10" s="28">
        <f>IF(basedata_pt_ra!R10=":",NA(),basedata_pt_ra!R10)</f>
        <v>2.38</v>
      </c>
    </row>
    <row r="11" spans="1:19" ht="11.25">
      <c r="A11" s="107">
        <v>1997</v>
      </c>
      <c r="B11" s="28">
        <f>IF(basedata_pt_ra!S11=":",NA(),basedata_pt_ra!S11)</f>
        <v>282.09179006</v>
      </c>
      <c r="C11" s="28">
        <f>IF(basedata_pt_ra!B11=":",NA(),basedata_pt_ra!B11)</f>
        <v>6.98</v>
      </c>
      <c r="D11" s="28">
        <f>IF(basedata_pt_ra!C11=":",NA(),basedata_pt_ra!C11)</f>
        <v>3.793</v>
      </c>
      <c r="E11" s="28">
        <f>IF(basedata_pt_ra!D11=":",NA(),basedata_pt_ra!D11)</f>
        <v>73.9171</v>
      </c>
      <c r="F11" s="28">
        <f>IF(basedata_pt_ra!E11=":",NA(),basedata_pt_ra!E11)</f>
        <v>1.884</v>
      </c>
      <c r="G11" s="28">
        <f>IF(basedata_pt_ra!F11=":",NA(),basedata_pt_ra!F11)</f>
        <v>16.579</v>
      </c>
      <c r="H11" s="28">
        <f>IF(basedata_pt_ra!G11=":",NA(),basedata_pt_ra!G11)</f>
        <v>61.573</v>
      </c>
      <c r="I11" s="28">
        <f>IF(basedata_pt_ra!H11=":",NA(),basedata_pt_ra!H11)</f>
        <v>1.387</v>
      </c>
      <c r="J11" s="28">
        <f>IF(basedata_pt_ra!I11=":",NA(),basedata_pt_ra!I11)</f>
        <v>43.591</v>
      </c>
      <c r="K11" s="28">
        <f>IF(basedata_pt_ra!J11=":",NA(),basedata_pt_ra!J11)</f>
        <v>0.295</v>
      </c>
      <c r="L11" s="28">
        <f>IF(basedata_pt_ra!K11=":",NA(),basedata_pt_ra!K11)</f>
        <v>14.2</v>
      </c>
      <c r="M11" s="28">
        <f>IF(basedata_pt_ra!L11=":",NA(),basedata_pt_ra!L11)</f>
        <v>8.1</v>
      </c>
      <c r="N11" s="28">
        <f>IF(basedata_pt_ra!M11=":",NA(),basedata_pt_ra!M11)</f>
        <v>4.563112</v>
      </c>
      <c r="O11" s="28">
        <f>IF(basedata_pt_ra!N11=":",NA(),basedata_pt_ra!N11)</f>
        <v>3.376</v>
      </c>
      <c r="P11" s="28">
        <f>IF(basedata_pt_ra!O11=":",NA(),basedata_pt_ra!O11)</f>
        <v>6.95357806</v>
      </c>
      <c r="Q11" s="28">
        <f>IF(basedata_pt_ra!P11=":",NA(),basedata_pt_ra!P11)</f>
        <v>34.9</v>
      </c>
      <c r="R11" s="28">
        <f>IF(basedata_pt_ra!Q11=":",NA(),basedata_pt_ra!Q11)</f>
        <v>0</v>
      </c>
      <c r="S11" s="28">
        <f>IF(basedata_pt_ra!R11=":",NA(),basedata_pt_ra!R11)</f>
        <v>2.51</v>
      </c>
    </row>
    <row r="12" spans="1:19" ht="11.25">
      <c r="A12" s="107">
        <v>1998</v>
      </c>
      <c r="B12" s="28">
        <f>IF(basedata_pt_ra!S12=":",NA(),basedata_pt_ra!S12)</f>
        <v>284.434604259</v>
      </c>
      <c r="C12" s="28">
        <f>IF(basedata_pt_ra!B12=":",NA(),basedata_pt_ra!B12)</f>
        <v>7.097</v>
      </c>
      <c r="D12" s="28">
        <f>IF(basedata_pt_ra!C12=":",NA(),basedata_pt_ra!C12)</f>
        <v>3.948</v>
      </c>
      <c r="E12" s="28">
        <f>IF(basedata_pt_ra!D12=":",NA(),basedata_pt_ra!D12)</f>
        <v>72.3891</v>
      </c>
      <c r="F12" s="28">
        <f>IF(basedata_pt_ra!E12=":",NA(),basedata_pt_ra!E12)</f>
        <v>1.552</v>
      </c>
      <c r="G12" s="28">
        <f>IF(basedata_pt_ra!F12=":",NA(),basedata_pt_ra!F12)</f>
        <v>17.475</v>
      </c>
      <c r="H12" s="28">
        <f>IF(basedata_pt_ra!G12=":",NA(),basedata_pt_ra!G12)</f>
        <v>64.186</v>
      </c>
      <c r="I12" s="28">
        <f>IF(basedata_pt_ra!H12=":",NA(),basedata_pt_ra!H12)</f>
        <v>1.421</v>
      </c>
      <c r="J12" s="28">
        <f>IF(basedata_pt_ra!I12=":",NA(),basedata_pt_ra!I12)</f>
        <v>41.392</v>
      </c>
      <c r="K12" s="28">
        <f>IF(basedata_pt_ra!J12=":",NA(),basedata_pt_ra!J12)</f>
        <v>0.295</v>
      </c>
      <c r="L12" s="28">
        <f>IF(basedata_pt_ra!K12=":",NA(),basedata_pt_ra!K12)</f>
        <v>14.9</v>
      </c>
      <c r="M12" s="28">
        <f>IF(basedata_pt_ra!L12=":",NA(),basedata_pt_ra!L12)</f>
        <v>8.15</v>
      </c>
      <c r="N12" s="28">
        <f>IF(basedata_pt_ra!M12=":",NA(),basedata_pt_ra!M12)</f>
        <v>4.602185</v>
      </c>
      <c r="O12" s="28">
        <f>IF(basedata_pt_ra!N12=":",NA(),basedata_pt_ra!N12)</f>
        <v>3.377</v>
      </c>
      <c r="P12" s="28">
        <f>IF(basedata_pt_ra!O12=":",NA(),basedata_pt_ra!O12)</f>
        <v>7.150319259000001</v>
      </c>
      <c r="Q12" s="28">
        <f>IF(basedata_pt_ra!P12=":",NA(),basedata_pt_ra!P12)</f>
        <v>36.5</v>
      </c>
      <c r="R12" s="28">
        <f>IF(basedata_pt_ra!Q12=":",NA(),basedata_pt_ra!Q12)</f>
        <v>0</v>
      </c>
      <c r="S12" s="28">
        <f>IF(basedata_pt_ra!R12=":",NA(),basedata_pt_ra!R12)</f>
        <v>2.59</v>
      </c>
    </row>
    <row r="13" spans="1:19" ht="11.25">
      <c r="A13" s="107">
        <v>1999</v>
      </c>
      <c r="B13" s="28">
        <f>IF(basedata_pt_ra!S13=":",NA(),basedata_pt_ra!S13)</f>
        <v>291.233895</v>
      </c>
      <c r="C13" s="28">
        <f>IF(basedata_pt_ra!B13=":",NA(),basedata_pt_ra!B13)</f>
        <v>7.354</v>
      </c>
      <c r="D13" s="28">
        <f>IF(basedata_pt_ra!C13=":",NA(),basedata_pt_ra!C13)</f>
        <v>3.93</v>
      </c>
      <c r="E13" s="28">
        <f>IF(basedata_pt_ra!D13=":",NA(),basedata_pt_ra!D13)</f>
        <v>73.5877</v>
      </c>
      <c r="F13" s="28">
        <f>IF(basedata_pt_ra!E13=":",NA(),basedata_pt_ra!E13)</f>
        <v>1.88</v>
      </c>
      <c r="G13" s="28">
        <f>IF(basedata_pt_ra!F13=":",NA(),basedata_pt_ra!F13)</f>
        <v>18.143</v>
      </c>
      <c r="H13" s="28">
        <f>IF(basedata_pt_ra!G13=":",NA(),basedata_pt_ra!G13)</f>
        <v>66.298</v>
      </c>
      <c r="I13" s="28">
        <f>IF(basedata_pt_ra!H13=":",NA(),basedata_pt_ra!H13)</f>
        <v>1.458</v>
      </c>
      <c r="J13" s="28">
        <f>IF(basedata_pt_ra!I13=":",NA(),basedata_pt_ra!I13)</f>
        <v>40.971</v>
      </c>
      <c r="K13" s="28">
        <f>IF(basedata_pt_ra!J13=":",NA(),basedata_pt_ra!J13)</f>
        <v>0.31</v>
      </c>
      <c r="L13" s="28">
        <f>IF(basedata_pt_ra!K13=":",NA(),basedata_pt_ra!K13)</f>
        <v>15</v>
      </c>
      <c r="M13" s="28">
        <f>IF(basedata_pt_ra!L13=":",NA(),basedata_pt_ra!L13)</f>
        <v>8.1</v>
      </c>
      <c r="N13" s="28">
        <f>IF(basedata_pt_ra!M13=":",NA(),basedata_pt_ra!M13)</f>
        <v>4.3804549999999995</v>
      </c>
      <c r="O13" s="28">
        <f>IF(basedata_pt_ra!N13=":",NA(),basedata_pt_ra!N13)</f>
        <v>3.415</v>
      </c>
      <c r="P13" s="28">
        <f>IF(basedata_pt_ra!O13=":",NA(),basedata_pt_ra!O13)</f>
        <v>7.6067399999999985</v>
      </c>
      <c r="Q13" s="28">
        <f>IF(basedata_pt_ra!P13=":",NA(),basedata_pt_ra!P13)</f>
        <v>38.8</v>
      </c>
      <c r="R13" s="28">
        <f>IF(basedata_pt_ra!Q13=":",NA(),basedata_pt_ra!Q13)</f>
        <v>0</v>
      </c>
      <c r="S13" s="28">
        <f>IF(basedata_pt_ra!R13=":",NA(),basedata_pt_ra!R13)</f>
        <v>2.81</v>
      </c>
    </row>
    <row r="14" spans="1:19" ht="11.25">
      <c r="A14" s="107">
        <v>2000</v>
      </c>
      <c r="B14" s="28">
        <f>IF(basedata_pt_ra!S14=":",NA(),basedata_pt_ra!S14)</f>
        <v>300.6411145</v>
      </c>
      <c r="C14" s="28">
        <f>IF(basedata_pt_ra!B14=":",NA(),basedata_pt_ra!B14)</f>
        <v>7.732</v>
      </c>
      <c r="D14" s="28">
        <f>IF(basedata_pt_ra!C14=":",NA(),basedata_pt_ra!C14)</f>
        <v>4.145</v>
      </c>
      <c r="E14" s="28">
        <f>IF(basedata_pt_ra!D14=":",NA(),basedata_pt_ra!D14)</f>
        <v>75.037</v>
      </c>
      <c r="F14" s="28">
        <f>IF(basedata_pt_ra!E14=":",NA(),basedata_pt_ra!E14)</f>
        <v>1.63</v>
      </c>
      <c r="G14" s="28">
        <f>IF(basedata_pt_ra!F14=":",NA(),basedata_pt_ra!F14)</f>
        <v>18.547</v>
      </c>
      <c r="H14" s="28">
        <f>IF(basedata_pt_ra!G14=":",NA(),basedata_pt_ra!G14)</f>
        <v>69.9</v>
      </c>
      <c r="I14" s="28">
        <f>IF(basedata_pt_ra!H14=":",NA(),basedata_pt_ra!H14)</f>
        <v>1.39</v>
      </c>
      <c r="J14" s="28">
        <f>IF(basedata_pt_ra!I14=":",NA(),basedata_pt_ra!I14)</f>
        <v>43.752</v>
      </c>
      <c r="K14" s="28">
        <f>IF(basedata_pt_ra!J14=":",NA(),basedata_pt_ra!J14)</f>
        <v>0.332</v>
      </c>
      <c r="L14" s="28">
        <f>IF(basedata_pt_ra!K14=":",NA(),basedata_pt_ra!K14)</f>
        <v>15.4</v>
      </c>
      <c r="M14" s="28">
        <f>IF(basedata_pt_ra!L14=":",NA(),basedata_pt_ra!L14)</f>
        <v>8.206</v>
      </c>
      <c r="N14" s="28">
        <f>IF(basedata_pt_ra!M14=":",NA(),basedata_pt_ra!M14)</f>
        <v>3.83</v>
      </c>
      <c r="O14" s="28">
        <f>IF(basedata_pt_ra!N14=":",NA(),basedata_pt_ra!N14)</f>
        <v>3.41</v>
      </c>
      <c r="P14" s="28">
        <f>IF(basedata_pt_ra!O14=":",NA(),basedata_pt_ra!O14)</f>
        <v>8.230114499999999</v>
      </c>
      <c r="Q14" s="28">
        <f>IF(basedata_pt_ra!P14=":",NA(),basedata_pt_ra!P14)</f>
        <v>39.1</v>
      </c>
      <c r="R14" s="28">
        <f>IF(basedata_pt_ra!Q14=":",NA(),basedata_pt_ra!Q14)</f>
        <v>0</v>
      </c>
      <c r="S14" s="28">
        <f>IF(basedata_pt_ra!R14=":",NA(),basedata_pt_ra!R14)</f>
        <v>2.78</v>
      </c>
    </row>
    <row r="15" spans="1:19" ht="11.25">
      <c r="A15" s="107">
        <v>2001</v>
      </c>
      <c r="B15" s="28" t="e">
        <f>IF(basedata_pt_ra!S15=":",NA(),basedata_pt_ra!S15)</f>
        <v>#N/A</v>
      </c>
      <c r="C15" s="28">
        <f>IF(basedata_pt_ra!B15=":",NA(),basedata_pt_ra!B15)</f>
        <v>8.038</v>
      </c>
      <c r="D15" s="28">
        <f>IF(basedata_pt_ra!C15=":",NA(),basedata_pt_ra!C15)</f>
        <v>4.38</v>
      </c>
      <c r="E15" s="28">
        <f>IF(basedata_pt_ra!D15=":",NA(),basedata_pt_ra!D15)</f>
        <v>75.314</v>
      </c>
      <c r="F15" s="28" t="e">
        <f>IF(basedata_pt_ra!E15=":",NA(),basedata_pt_ra!E15)</f>
        <v>#N/A</v>
      </c>
      <c r="G15" s="28">
        <f>IF(basedata_pt_ra!F15=":",NA(),basedata_pt_ra!F15)</f>
        <v>19.19</v>
      </c>
      <c r="H15" s="28">
        <f>IF(basedata_pt_ra!G15=":",NA(),basedata_pt_ra!G15)</f>
        <v>71.4</v>
      </c>
      <c r="I15" s="28">
        <f>IF(basedata_pt_ra!H15=":",NA(),basedata_pt_ra!H15)</f>
        <v>1.52</v>
      </c>
      <c r="J15" s="28" t="e">
        <f>IF(basedata_pt_ra!I15=":",NA(),basedata_pt_ra!I15)</f>
        <v>#N/A</v>
      </c>
      <c r="K15" s="28">
        <f>IF(basedata_pt_ra!J15=":",NA(),basedata_pt_ra!J15)</f>
        <v>0.346</v>
      </c>
      <c r="L15" s="28">
        <f>IF(basedata_pt_ra!K15=":",NA(),basedata_pt_ra!K15)</f>
        <v>15.5</v>
      </c>
      <c r="M15" s="28" t="e">
        <f>IF(basedata_pt_ra!L15=":",NA(),basedata_pt_ra!L15)</f>
        <v>#N/A</v>
      </c>
      <c r="N15" s="28" t="e">
        <f>IF(basedata_pt_ra!M15=":",NA(),basedata_pt_ra!M15)</f>
        <v>#N/A</v>
      </c>
      <c r="O15" s="28" t="e">
        <f>IF(basedata_pt_ra!N15=":",NA(),basedata_pt_ra!N15)</f>
        <v>#N/A</v>
      </c>
      <c r="P15" s="28">
        <f>IF(basedata_pt_ra!O15=":",NA(),basedata_pt_ra!O15)</f>
        <v>8.6024005</v>
      </c>
      <c r="Q15" s="28" t="e">
        <f>IF(basedata_pt_ra!P15=":",NA(),basedata_pt_ra!P15)</f>
        <v>#N/A</v>
      </c>
      <c r="R15" s="28">
        <f>IF(basedata_pt_ra!Q15=":",NA(),basedata_pt_ra!Q15)</f>
        <v>0</v>
      </c>
      <c r="S15" s="28" t="e">
        <f>IF(basedata_pt_ra!R15=":",NA(),basedata_pt_ra!R15)</f>
        <v>#N/A</v>
      </c>
    </row>
    <row r="18" spans="1:17" ht="11.25">
      <c r="A18" s="30" t="s">
        <v>51</v>
      </c>
      <c r="B18" s="30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2" ht="11.25">
      <c r="A19" s="6" t="s">
        <v>244</v>
      </c>
      <c r="B19" s="30"/>
    </row>
    <row r="20" spans="2:19" ht="11.25">
      <c r="B20" s="297">
        <f aca="true" t="shared" si="0" ref="B20:S20">+B14/B5-1</f>
        <v>0.13381196873786072</v>
      </c>
      <c r="C20" s="297">
        <f t="shared" si="0"/>
        <v>0.14192881405996172</v>
      </c>
      <c r="D20" s="297">
        <f t="shared" si="0"/>
        <v>0.19521337946943462</v>
      </c>
      <c r="E20" s="297">
        <f t="shared" si="0"/>
        <v>0.3156538205281061</v>
      </c>
      <c r="F20" s="297">
        <f t="shared" si="0"/>
        <v>-0.18295739348370932</v>
      </c>
      <c r="G20" s="297">
        <f t="shared" si="0"/>
        <v>0.23465583810411395</v>
      </c>
      <c r="H20" s="297">
        <f t="shared" si="0"/>
        <v>0.12197235999422174</v>
      </c>
      <c r="I20" s="297">
        <f t="shared" si="0"/>
        <v>0.07751937984496116</v>
      </c>
      <c r="J20" s="298">
        <f t="shared" si="0"/>
        <v>-0.029135692888050513</v>
      </c>
      <c r="K20" s="297">
        <f t="shared" si="0"/>
        <v>0.22058823529411753</v>
      </c>
      <c r="L20" s="297">
        <f t="shared" si="0"/>
        <v>0.013491280026324493</v>
      </c>
      <c r="M20" s="297">
        <f t="shared" si="0"/>
        <v>-0.1251599147121536</v>
      </c>
      <c r="N20" s="297">
        <f t="shared" si="0"/>
        <v>-0.3271125503523611</v>
      </c>
      <c r="O20" s="297">
        <f t="shared" si="0"/>
        <v>0.05572755417956654</v>
      </c>
      <c r="P20" s="297">
        <f t="shared" si="0"/>
        <v>0.4326447856284923</v>
      </c>
      <c r="Q20" s="297">
        <f t="shared" si="0"/>
        <v>0.19571865443425063</v>
      </c>
      <c r="R20" s="297" t="e">
        <f t="shared" si="0"/>
        <v>#DIV/0!</v>
      </c>
      <c r="S20" s="297">
        <f t="shared" si="0"/>
        <v>0.3429951690821256</v>
      </c>
    </row>
    <row r="21" spans="1:17" ht="11.25">
      <c r="A21" s="6" t="s">
        <v>245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</row>
    <row r="22" spans="2:19" ht="11.25">
      <c r="B22" s="297">
        <f aca="true" t="shared" si="1" ref="B22:S22">+B14/B13-1</f>
        <v>0.032301252228900124</v>
      </c>
      <c r="C22" s="297">
        <f t="shared" si="1"/>
        <v>0.051400598313842805</v>
      </c>
      <c r="D22" s="297">
        <f t="shared" si="1"/>
        <v>0.05470737913485979</v>
      </c>
      <c r="E22" s="297">
        <f t="shared" si="1"/>
        <v>0.01969486748464777</v>
      </c>
      <c r="F22" s="297">
        <f t="shared" si="1"/>
        <v>-0.13297872340425532</v>
      </c>
      <c r="G22" s="297">
        <f t="shared" si="1"/>
        <v>0.022267541200462926</v>
      </c>
      <c r="H22" s="297">
        <f t="shared" si="1"/>
        <v>0.054330447373978075</v>
      </c>
      <c r="I22" s="297">
        <f t="shared" si="1"/>
        <v>-0.04663923182441709</v>
      </c>
      <c r="J22" s="297">
        <f t="shared" si="1"/>
        <v>0.06787727905103624</v>
      </c>
      <c r="K22" s="297">
        <f t="shared" si="1"/>
        <v>0.07096774193548394</v>
      </c>
      <c r="L22" s="297">
        <f t="shared" si="1"/>
        <v>0.026666666666666616</v>
      </c>
      <c r="M22" s="297">
        <f t="shared" si="1"/>
        <v>0.013086419753086442</v>
      </c>
      <c r="N22" s="297">
        <f t="shared" si="1"/>
        <v>-0.1256616036461965</v>
      </c>
      <c r="O22" s="297">
        <f t="shared" si="1"/>
        <v>-0.0014641288433381305</v>
      </c>
      <c r="P22" s="297">
        <f t="shared" si="1"/>
        <v>0.08195028356431289</v>
      </c>
      <c r="Q22" s="297">
        <f t="shared" si="1"/>
        <v>0.0077319587628867925</v>
      </c>
      <c r="R22" s="297" t="e">
        <f t="shared" si="1"/>
        <v>#DIV/0!</v>
      </c>
      <c r="S22" s="297">
        <f t="shared" si="1"/>
        <v>-0.01067615658362997</v>
      </c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34" ht="11.25">
      <c r="A34" s="2" t="s">
        <v>105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 t="e">
        <f>+#REF!/'[4]manip_POP_EU'!B5*1000000</f>
        <v>#REF!</v>
      </c>
      <c r="C38" s="13" t="e">
        <f>+#REF!/'[4]manip_POP_EU'!C5*1000000</f>
        <v>#REF!</v>
      </c>
      <c r="D38" s="13" t="e">
        <f>+#REF!/'[4]manip_POP_EU'!D5*1000000</f>
        <v>#REF!</v>
      </c>
      <c r="E38" s="13" t="e">
        <f>+#REF!/'[4]manip_POP_EU'!E5*1000000</f>
        <v>#REF!</v>
      </c>
      <c r="F38" s="13" t="e">
        <f>+#REF!/'[4]manip_POP_EU'!F5*1000000</f>
        <v>#REF!</v>
      </c>
      <c r="G38" s="13" t="e">
        <f>+#REF!/'[4]manip_POP_EU'!G5*1000000</f>
        <v>#REF!</v>
      </c>
      <c r="H38" s="13" t="e">
        <f>+#REF!/'[4]manip_POP_EU'!H5*1000000</f>
        <v>#REF!</v>
      </c>
      <c r="I38" s="13" t="e">
        <f>+#REF!/'[4]manip_POP_EU'!I5*1000000</f>
        <v>#REF!</v>
      </c>
      <c r="J38" s="13" t="e">
        <f>+#REF!/'[4]manip_POP_EU'!J5*1000000</f>
        <v>#REF!</v>
      </c>
      <c r="K38" s="13" t="e">
        <f>+#REF!/'[4]manip_POP_EU'!K5*1000000</f>
        <v>#REF!</v>
      </c>
      <c r="L38" s="13" t="e">
        <f>+#REF!/'[4]manip_POP_EU'!L5*1000000</f>
        <v>#REF!</v>
      </c>
      <c r="M38" s="13" t="e">
        <f>+#REF!/'[4]manip_POP_EU'!M5*1000000</f>
        <v>#REF!</v>
      </c>
      <c r="N38" s="13" t="e">
        <f>+#REF!/'[4]manip_POP_EU'!N5*1000000</f>
        <v>#REF!</v>
      </c>
      <c r="O38" s="13" t="e">
        <f>+#REF!/'[4]manip_POP_EU'!O5*1000000</f>
        <v>#REF!</v>
      </c>
      <c r="P38" s="13" t="e">
        <f>+#REF!/'[4]manip_POP_EU'!P5*1000000</f>
        <v>#REF!</v>
      </c>
      <c r="Q38" s="13" t="e">
        <f>+#REF!/'[4]manip_POP_EU'!Q5*1000000</f>
        <v>#REF!</v>
      </c>
    </row>
    <row r="39" spans="1:17" ht="11.25">
      <c r="A39" s="53">
        <v>1991</v>
      </c>
      <c r="B39" s="13">
        <f>+B5/'[4]manip_POP_EU'!B6*1000000</f>
        <v>724.1214470107822</v>
      </c>
      <c r="C39" s="13">
        <f>+C5/'[4]manip_POP_EU'!C6*1000000</f>
        <v>676.7954420510771</v>
      </c>
      <c r="D39" s="13">
        <f>+D5/'[4]manip_POP_EU'!D6*1000000</f>
        <v>672.8754365541326</v>
      </c>
      <c r="E39" s="13">
        <f>+E5/'[4]manip_POP_EU'!E6*1000000</f>
        <v>712.800259954508</v>
      </c>
      <c r="F39" s="13">
        <f>+F5/'[4]manip_POP_EU'!F6*1000000</f>
        <v>194.6911291109593</v>
      </c>
      <c r="G39" s="13">
        <f>+G5/'[4]manip_POP_EU'!G6*1000000</f>
        <v>386.0108952615891</v>
      </c>
      <c r="H39" s="13">
        <f>+H5/'[4]manip_POP_EU'!H6*1000000</f>
        <v>1093.4316177438463</v>
      </c>
      <c r="I39" s="13">
        <f>+I5/'[4]manip_POP_EU'!I6*1000000</f>
        <v>365.88478883625953</v>
      </c>
      <c r="J39" s="13">
        <f>+J5/'[4]manip_POP_EU'!J6*1000000</f>
        <v>794.0829236489225</v>
      </c>
      <c r="K39" s="13">
        <f>+K5/'[4]manip_POP_EU'!K6*1000000</f>
        <v>702.6608111599071</v>
      </c>
      <c r="L39" s="13">
        <f>+L5/'[4]manip_POP_EU'!L6*1000000</f>
        <v>1008.2946250829463</v>
      </c>
      <c r="M39" s="13">
        <f>+M5/'[4]manip_POP_EU'!M6*1000000</f>
        <v>1198.5841884000563</v>
      </c>
      <c r="N39" s="13">
        <f>+N5/'[4]manip_POP_EU'!N6*1000000</f>
        <v>576.7441483432972</v>
      </c>
      <c r="O39" s="13">
        <f>+O5/'[4]manip_POP_EU'!O6*1000000</f>
        <v>644.196250498604</v>
      </c>
      <c r="P39" s="13">
        <f>+P5/'[4]manip_POP_EU'!P6*1000000</f>
        <v>666.6395896674171</v>
      </c>
      <c r="Q39" s="13">
        <f>+Q5/'[4]manip_POP_EU'!Q6*1000000</f>
        <v>565.665651812898</v>
      </c>
    </row>
    <row r="40" spans="1:17" ht="11.25">
      <c r="A40" s="53">
        <v>1992</v>
      </c>
      <c r="B40" s="13">
        <f>+B6/'[4]manip_POP_EU'!B7*1000000</f>
        <v>720.4470587467785</v>
      </c>
      <c r="C40" s="13">
        <f>+C6/'[4]manip_POP_EU'!C7*1000000</f>
        <v>676.7546042807367</v>
      </c>
      <c r="D40" s="13">
        <f>+D6/'[4]manip_POP_EU'!D7*1000000</f>
        <v>688.7814313346228</v>
      </c>
      <c r="E40" s="13">
        <f>+E6/'[4]manip_POP_EU'!E7*1000000</f>
        <v>709.9622941059735</v>
      </c>
      <c r="F40" s="13">
        <f>+F6/'[4]manip_POP_EU'!F7*1000000</f>
        <v>198.21739972873473</v>
      </c>
      <c r="G40" s="13">
        <f>+G6/'[4]manip_POP_EU'!G7*1000000</f>
        <v>417.9357021996616</v>
      </c>
      <c r="H40" s="13">
        <f>+H6/'[4]manip_POP_EU'!H7*1000000</f>
        <v>1087.6047957541887</v>
      </c>
      <c r="I40" s="13">
        <f>+I6/'[4]manip_POP_EU'!I7*1000000</f>
        <v>345.439688935223</v>
      </c>
      <c r="J40" s="13">
        <f>+J6/'[4]manip_POP_EU'!J7*1000000</f>
        <v>781.0197154364305</v>
      </c>
      <c r="K40" s="13">
        <f>+K6/'[4]manip_POP_EU'!K7*1000000</f>
        <v>649.6815286624204</v>
      </c>
      <c r="L40" s="13">
        <f>+L6/'[4]manip_POP_EU'!L7*1000000</f>
        <v>986.9548030043485</v>
      </c>
      <c r="M40" s="13">
        <f>+M6/'[4]manip_POP_EU'!M7*1000000</f>
        <v>1229.9972192026696</v>
      </c>
      <c r="N40" s="13">
        <f>+N6/'[4]manip_POP_EU'!N7*1000000</f>
        <v>577.0873619134488</v>
      </c>
      <c r="O40" s="13">
        <f>+O6/'[4]manip_POP_EU'!O7*1000000</f>
        <v>606.3070210234034</v>
      </c>
      <c r="P40" s="13">
        <f>+P6/'[4]manip_POP_EU'!P7*1000000</f>
        <v>644.2778034148592</v>
      </c>
      <c r="Q40" s="13">
        <f>+Q6/'[4]manip_POP_EU'!Q7*1000000</f>
        <v>549.9431093335172</v>
      </c>
    </row>
    <row r="41" spans="1:17" ht="11.25">
      <c r="A41" s="53">
        <v>1993</v>
      </c>
      <c r="B41" s="13">
        <f>+B7/'[4]manip_POP_EU'!B8*1000000</f>
        <v>696.6913427124513</v>
      </c>
      <c r="C41" s="13">
        <f>+C7/'[4]manip_POP_EU'!C8*1000000</f>
        <v>663.7909663344738</v>
      </c>
      <c r="D41" s="13">
        <f>+D7/'[4]manip_POP_EU'!D8*1000000</f>
        <v>679.3216419348622</v>
      </c>
      <c r="E41" s="13">
        <f>+E7/'[4]manip_POP_EU'!E8*1000000</f>
        <v>714.7099413475282</v>
      </c>
      <c r="F41" s="13">
        <f>+F7/'[4]manip_POP_EU'!F8*1000000</f>
        <v>166.3133551744074</v>
      </c>
      <c r="G41" s="13">
        <f>+G7/'[4]manip_POP_EU'!G8*1000000</f>
        <v>389.78584039096285</v>
      </c>
      <c r="H41" s="13">
        <f>+H7/'[4]manip_POP_EU'!H8*1000000</f>
        <v>1019.7235055116192</v>
      </c>
      <c r="I41" s="13">
        <f>+I7/'[4]manip_POP_EU'!I8*1000000</f>
        <v>357.5337468077344</v>
      </c>
      <c r="J41" s="13">
        <f>+J7/'[4]manip_POP_EU'!J8*1000000</f>
        <v>748.8299531981279</v>
      </c>
      <c r="K41" s="13">
        <f>+K7/'[4]manip_POP_EU'!K8*1000000</f>
        <v>658.126098970108</v>
      </c>
      <c r="L41" s="13">
        <f>+L7/'[4]manip_POP_EU'!L8*1000000</f>
        <v>967.8580544665589</v>
      </c>
      <c r="M41" s="13">
        <f>+M7/'[4]manip_POP_EU'!M8*1000000</f>
        <v>1201.7274832571823</v>
      </c>
      <c r="N41" s="13">
        <f>+N7/'[4]manip_POP_EU'!N8*1000000</f>
        <v>546.2095941706305</v>
      </c>
      <c r="O41" s="13">
        <f>+O7/'[4]manip_POP_EU'!O8*1000000</f>
        <v>593.5649427556257</v>
      </c>
      <c r="P41" s="13">
        <f>+P7/'[4]manip_POP_EU'!P8*1000000</f>
        <v>687.1048102906428</v>
      </c>
      <c r="Q41" s="13">
        <f>+Q7/'[4]manip_POP_EU'!Q8*1000000</f>
        <v>525.854513584575</v>
      </c>
    </row>
    <row r="42" spans="1:17" ht="11.25">
      <c r="A42" s="53">
        <v>1994</v>
      </c>
      <c r="B42" s="13">
        <f>+B8/'[4]manip_POP_EU'!B9*1000000</f>
        <v>697.9703408319807</v>
      </c>
      <c r="C42" s="13">
        <f>+C8/'[4]manip_POP_EU'!C9*1000000</f>
        <v>656.2141642611411</v>
      </c>
      <c r="D42" s="13">
        <f>+D8/'[4]manip_POP_EU'!D9*1000000</f>
        <v>696.061479346782</v>
      </c>
      <c r="E42" s="13">
        <f>+E8/'[4]manip_POP_EU'!E9*1000000</f>
        <v>752.330830757152</v>
      </c>
      <c r="F42" s="13">
        <f>+F8/'[4]manip_POP_EU'!F9*1000000</f>
        <v>134.1837713408786</v>
      </c>
      <c r="G42" s="13">
        <f>+G8/'[4]manip_POP_EU'!G9*1000000</f>
        <v>379.454819507958</v>
      </c>
      <c r="H42" s="13">
        <f>+H8/'[4]manip_POP_EU'!H9*1000000</f>
        <v>1021.9697127357738</v>
      </c>
      <c r="I42" s="13">
        <f>+I8/'[4]manip_POP_EU'!I9*1000000</f>
        <v>352.8719858851206</v>
      </c>
      <c r="J42" s="13">
        <f>+J8/'[4]manip_POP_EU'!J9*1000000</f>
        <v>759.3662464985995</v>
      </c>
      <c r="K42" s="13">
        <f>+K8/'[4]manip_POP_EU'!K9*1000000</f>
        <v>715.7008420009905</v>
      </c>
      <c r="L42" s="13">
        <f>+L8/'[4]manip_POP_EU'!L9*1000000</f>
        <v>938.7476732853828</v>
      </c>
      <c r="M42" s="13">
        <f>+M8/'[4]manip_POP_EU'!M9*1000000</f>
        <v>1168.9816256617878</v>
      </c>
      <c r="N42" s="13">
        <f>+N8/'[4]manip_POP_EU'!N9*1000000</f>
        <v>520.0202989295092</v>
      </c>
      <c r="O42" s="13">
        <f>+O8/'[4]manip_POP_EU'!O9*1000000</f>
        <v>596.7773629396738</v>
      </c>
      <c r="P42" s="13">
        <f>+P8/'[4]manip_POP_EU'!P9*1000000</f>
        <v>690.3699021718085</v>
      </c>
      <c r="Q42" s="13">
        <f>+Q8/'[4]manip_POP_EU'!Q9*1000000</f>
        <v>496.6178611182465</v>
      </c>
    </row>
    <row r="43" spans="1:17" ht="11.25">
      <c r="A43" s="53">
        <v>1995</v>
      </c>
      <c r="B43" s="13">
        <f>+B9/'[4]manip_POP_EU'!B10*1000000</f>
        <v>730.2203488226007</v>
      </c>
      <c r="C43" s="13">
        <f>+C9/'[4]manip_POP_EU'!C10*1000000</f>
        <v>666.5811695998738</v>
      </c>
      <c r="D43" s="13">
        <f>+D9/'[4]manip_POP_EU'!D10*1000000</f>
        <v>663.9250191277736</v>
      </c>
      <c r="E43" s="13">
        <f>+E9/'[4]manip_POP_EU'!E10*1000000</f>
        <v>918.2773572425957</v>
      </c>
      <c r="F43" s="13">
        <f>+F9/'[4]manip_POP_EU'!F10*1000000</f>
        <v>149.93306559571622</v>
      </c>
      <c r="G43" s="13">
        <f>+G9/'[4]manip_POP_EU'!G10*1000000</f>
        <v>390.53812802856413</v>
      </c>
      <c r="H43" s="13">
        <f>+H9/'[4]manip_POP_EU'!H10*1000000</f>
        <v>960.5663508747667</v>
      </c>
      <c r="I43" s="13">
        <f>+I9/'[4]manip_POP_EU'!I10*1000000</f>
        <v>358.41199333703497</v>
      </c>
      <c r="J43" s="13">
        <f>+J9/'[4]manip_POP_EU'!J10*1000000</f>
        <v>766.712118033704</v>
      </c>
      <c r="K43" s="13">
        <f>+K9/'[4]manip_POP_EU'!K10*1000000</f>
        <v>700.8547008547008</v>
      </c>
      <c r="L43" s="13">
        <f>+L9/'[4]manip_POP_EU'!L10*1000000</f>
        <v>904.0750323415266</v>
      </c>
      <c r="M43" s="13">
        <f>+M9/'[4]manip_POP_EU'!M10*1000000</f>
        <v>1217.84515968684</v>
      </c>
      <c r="N43" s="13">
        <f>+N9/'[4]manip_POP_EU'!N10*1000000</f>
        <v>487.5272489170948</v>
      </c>
      <c r="O43" s="13">
        <f>+O9/'[4]manip_POP_EU'!O10*1000000</f>
        <v>623.3359436178544</v>
      </c>
      <c r="P43" s="13">
        <f>+P9/'[4]manip_POP_EU'!P10*1000000</f>
        <v>719.3899431547957</v>
      </c>
      <c r="Q43" s="13">
        <f>+Q9/'[4]manip_POP_EU'!Q10*1000000</f>
        <v>515.3056001092039</v>
      </c>
    </row>
    <row r="44" spans="1:17" ht="11.25">
      <c r="A44" s="53">
        <v>1996</v>
      </c>
      <c r="B44" s="13">
        <f>+B10/'[4]manip_POP_EU'!B11*1000000</f>
        <v>751.119786587528</v>
      </c>
      <c r="C44" s="13">
        <f>+C10/'[4]manip_POP_EU'!C11*1000000</f>
        <v>668.3075711332087</v>
      </c>
      <c r="D44" s="13">
        <f>+D10/'[4]manip_POP_EU'!D11*1000000</f>
        <v>649.5629038388446</v>
      </c>
      <c r="E44" s="13">
        <f>+E10/'[4]manip_POP_EU'!E11*1000000</f>
        <v>927.522218966696</v>
      </c>
      <c r="F44" s="13">
        <f>+F10/'[4]manip_POP_EU'!F11*1000000</f>
        <v>167.15990453460617</v>
      </c>
      <c r="G44" s="13">
        <f>+G10/'[4]manip_POP_EU'!G11*1000000</f>
        <v>397.3599309426381</v>
      </c>
      <c r="H44" s="13">
        <f>+H10/'[4]manip_POP_EU'!H11*1000000</f>
        <v>1030.1071933271292</v>
      </c>
      <c r="I44" s="13">
        <f>+I10/'[4]manip_POP_EU'!I11*1000000</f>
        <v>356.55286343612335</v>
      </c>
      <c r="J44" s="13">
        <f>+J10/'[4]manip_POP_EU'!J11*1000000</f>
        <v>780.4461484837922</v>
      </c>
      <c r="K44" s="13">
        <f>+K10/'[4]manip_POP_EU'!K11*1000000</f>
        <v>683.4315966790999</v>
      </c>
      <c r="L44" s="13">
        <f>+L10/'[4]manip_POP_EU'!L11*1000000</f>
        <v>908.1007926789972</v>
      </c>
      <c r="M44" s="13">
        <f>+M10/'[4]manip_POP_EU'!M11*1000000</f>
        <v>1218.454498417374</v>
      </c>
      <c r="N44" s="13">
        <f>+N10/'[4]manip_POP_EU'!N11*1000000</f>
        <v>453.4943605236656</v>
      </c>
      <c r="O44" s="13">
        <f>+O10/'[4]manip_POP_EU'!O11*1000000</f>
        <v>634.9268292682926</v>
      </c>
      <c r="P44" s="13">
        <f>+P10/'[4]manip_POP_EU'!P11*1000000</f>
        <v>721.9038782087528</v>
      </c>
      <c r="Q44" s="13">
        <f>+Q10/'[4]manip_POP_EU'!Q11*1000000</f>
        <v>549.3010441821706</v>
      </c>
    </row>
    <row r="45" spans="1:17" ht="11.25">
      <c r="A45" s="53">
        <v>1997</v>
      </c>
      <c r="B45" s="13">
        <f>+B11/'[4]manip_POP_EU'!B12*1000000</f>
        <v>754.6573022054131</v>
      </c>
      <c r="C45" s="13">
        <f>+C11/'[4]manip_POP_EU'!C12*1000000</f>
        <v>685.5908064040862</v>
      </c>
      <c r="D45" s="13">
        <f>+D11/'[4]manip_POP_EU'!D12*1000000</f>
        <v>717.7975178928962</v>
      </c>
      <c r="E45" s="13">
        <f>+E11/'[4]manip_POP_EU'!E12*1000000</f>
        <v>900.6482192248177</v>
      </c>
      <c r="F45" s="13">
        <f>+F11/'[4]manip_POP_EU'!F12*1000000</f>
        <v>179.4798513861103</v>
      </c>
      <c r="G45" s="13">
        <f>+G11/'[4]manip_POP_EU'!G12*1000000</f>
        <v>421.6107621493782</v>
      </c>
      <c r="H45" s="13">
        <f>+H11/'[4]manip_POP_EU'!H12*1000000</f>
        <v>1057.8099230346345</v>
      </c>
      <c r="I45" s="13">
        <f>+I11/'[4]manip_POP_EU'!I12*1000000</f>
        <v>377.92915531335154</v>
      </c>
      <c r="J45" s="13">
        <f>+J11/'[4]manip_POP_EU'!J12*1000000</f>
        <v>757.8012273351529</v>
      </c>
      <c r="K45" s="13">
        <f>+K11/'[4]manip_POP_EU'!K12*1000000</f>
        <v>699.8813760379596</v>
      </c>
      <c r="L45" s="13">
        <f>+L11/'[4]manip_POP_EU'!L12*1000000</f>
        <v>909.8481450631126</v>
      </c>
      <c r="M45" s="13">
        <f>+M11/'[4]manip_POP_EU'!M12*1000000</f>
        <v>1003.4464048125785</v>
      </c>
      <c r="N45" s="13">
        <f>+N11/'[4]manip_POP_EU'!N12*1000000</f>
        <v>458.8347913524384</v>
      </c>
      <c r="O45" s="13">
        <f>+O11/'[4]manip_POP_EU'!O12*1000000</f>
        <v>656.8297845847342</v>
      </c>
      <c r="P45" s="13">
        <f>+P11/'[4]manip_POP_EU'!P12*1000000</f>
        <v>785.7647557359561</v>
      </c>
      <c r="Q45" s="13">
        <f>+Q11/'[4]manip_POP_EU'!Q12*1000000</f>
        <v>591.4352047992679</v>
      </c>
    </row>
    <row r="46" spans="1:17" ht="11.25">
      <c r="A46" s="53">
        <v>1998</v>
      </c>
      <c r="B46" s="13">
        <f>+B12/'[4]manip_POP_EU'!B13*1000000</f>
        <v>759.3714276381578</v>
      </c>
      <c r="C46" s="13">
        <f>+C12/'[4]manip_POP_EU'!C13*1000000</f>
        <v>695.5797314515339</v>
      </c>
      <c r="D46" s="13">
        <f>+D12/'[4]manip_POP_EU'!D13*1000000</f>
        <v>744.7651386530844</v>
      </c>
      <c r="E46" s="13">
        <f>+E12/'[4]manip_POP_EU'!E13*1000000</f>
        <v>882.2882006654722</v>
      </c>
      <c r="F46" s="13">
        <f>+F12/'[4]manip_POP_EU'!F13*1000000</f>
        <v>147.59866856871136</v>
      </c>
      <c r="G46" s="13">
        <f>+G12/'[4]manip_POP_EU'!G13*1000000</f>
        <v>443.8546138020371</v>
      </c>
      <c r="H46" s="13">
        <f>+H12/'[4]manip_POP_EU'!H13*1000000</f>
        <v>1099.1129833213467</v>
      </c>
      <c r="I46" s="13">
        <f>+I12/'[4]manip_POP_EU'!I13*1000000</f>
        <v>382.8125</v>
      </c>
      <c r="J46" s="13">
        <f>+J12/'[4]manip_POP_EU'!J13*1000000</f>
        <v>718.7608529554769</v>
      </c>
      <c r="K46" s="13">
        <f>+K12/'[4]manip_POP_EU'!K13*1000000</f>
        <v>691.5142991092357</v>
      </c>
      <c r="L46" s="13">
        <f>+L12/'[4]manip_POP_EU'!L13*1000000</f>
        <v>949.1654987896547</v>
      </c>
      <c r="M46" s="13">
        <f>+M12/'[4]manip_POP_EU'!M13*1000000</f>
        <v>1008.8568970532713</v>
      </c>
      <c r="N46" s="13">
        <f>+N12/'[4]manip_POP_EU'!N13*1000000</f>
        <v>461.6959269662922</v>
      </c>
      <c r="O46" s="13">
        <f>+O12/'[4]manip_POP_EU'!O13*1000000</f>
        <v>655.3464001552493</v>
      </c>
      <c r="P46" s="13">
        <f>+P12/'[4]manip_POP_EU'!P13*1000000</f>
        <v>807.7813844641769</v>
      </c>
      <c r="Q46" s="13">
        <f>+Q12/'[4]manip_POP_EU'!Q13*1000000</f>
        <v>615.9817736899839</v>
      </c>
    </row>
    <row r="47" spans="1:17" ht="11.25">
      <c r="A47" s="53">
        <v>1999</v>
      </c>
      <c r="B47" s="13">
        <f>+B13/'[4]manip_POP_EU'!B14*1000000</f>
        <v>775.6979503528522</v>
      </c>
      <c r="C47" s="13">
        <f>+C13/'[4]manip_POP_EU'!C14*1000000</f>
        <v>719.1472716604734</v>
      </c>
      <c r="D47" s="13">
        <f>+D13/'[4]manip_POP_EU'!D14*1000000</f>
        <v>738.8606880992669</v>
      </c>
      <c r="E47" s="13">
        <f>+E13/'[4]manip_POP_EU'!E14*1000000</f>
        <v>896.4598535699928</v>
      </c>
      <c r="F47" s="13">
        <f>+F13/'[4]manip_POP_EU'!F14*1000000</f>
        <v>178.4019738090719</v>
      </c>
      <c r="G47" s="13">
        <f>+G13/'[4]manip_POP_EU'!G14*1000000</f>
        <v>460.2719569739713</v>
      </c>
      <c r="H47" s="13">
        <f>+H13/'[4]manip_POP_EU'!H14*1000000</f>
        <v>1130.9791879904471</v>
      </c>
      <c r="I47" s="13">
        <f>+I13/'[4]manip_POP_EU'!I14*1000000</f>
        <v>388.592750533049</v>
      </c>
      <c r="J47" s="13">
        <f>+J13/'[4]manip_POP_EU'!J14*1000000</f>
        <v>710.7344828782569</v>
      </c>
      <c r="K47" s="13">
        <f>+K13/'[4]manip_POP_EU'!K14*1000000</f>
        <v>717.5925925925926</v>
      </c>
      <c r="L47" s="13">
        <f>+L13/'[4]manip_POP_EU'!L14*1000000</f>
        <v>949.0667510281556</v>
      </c>
      <c r="M47" s="13">
        <f>+M13/'[4]manip_POP_EU'!M14*1000000</f>
        <v>1000.957706447527</v>
      </c>
      <c r="N47" s="13">
        <f>+N13/'[4]manip_POP_EU'!N14*1000000</f>
        <v>438.5278806687356</v>
      </c>
      <c r="O47" s="13">
        <f>+O13/'[4]manip_POP_EU'!O14*1000000</f>
        <v>661.1810261374636</v>
      </c>
      <c r="P47" s="13">
        <f>+P13/'[4]manip_POP_EU'!P14*1000000</f>
        <v>858.8005509517465</v>
      </c>
      <c r="Q47" s="13">
        <f>+Q13/'[4]manip_POP_EU'!Q14*1000000</f>
        <v>652.0909767751411</v>
      </c>
    </row>
    <row r="48" spans="1:17" ht="11.25">
      <c r="A48" s="53">
        <v>2000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2" ht="11.25">
      <c r="A49" s="6" t="s">
        <v>168</v>
      </c>
      <c r="B49" s="30"/>
    </row>
    <row r="50" spans="2:17" ht="11.25">
      <c r="B50" s="122">
        <f>+B47/B39-1</f>
        <v>0.07122631646249533</v>
      </c>
      <c r="C50" s="122">
        <f aca="true" t="shared" si="2" ref="C50:Q50">+C47/C39-1</f>
        <v>0.06257700182058867</v>
      </c>
      <c r="D50" s="122">
        <f t="shared" si="2"/>
        <v>0.09806458663887607</v>
      </c>
      <c r="E50" s="122">
        <f t="shared" si="2"/>
        <v>0.257659268568738</v>
      </c>
      <c r="F50" s="122">
        <f t="shared" si="2"/>
        <v>-0.08366665382377958</v>
      </c>
      <c r="G50" s="122">
        <f t="shared" si="2"/>
        <v>0.19238074008780903</v>
      </c>
      <c r="H50" s="122">
        <f t="shared" si="2"/>
        <v>0.034339202961841675</v>
      </c>
      <c r="I50" s="122">
        <f t="shared" si="2"/>
        <v>0.062063147716566514</v>
      </c>
      <c r="J50" s="122">
        <f t="shared" si="2"/>
        <v>-0.10496188532510908</v>
      </c>
      <c r="K50" s="122">
        <f t="shared" si="2"/>
        <v>0.021250340413943247</v>
      </c>
      <c r="L50" s="122">
        <f t="shared" si="2"/>
        <v>-0.058740642448548486</v>
      </c>
      <c r="M50" s="122">
        <f t="shared" si="2"/>
        <v>-0.16488327133393377</v>
      </c>
      <c r="N50" s="122">
        <f t="shared" si="2"/>
        <v>-0.23964918945703928</v>
      </c>
      <c r="O50" s="122">
        <f t="shared" si="2"/>
        <v>0.026365840573759236</v>
      </c>
      <c r="P50" s="122">
        <f t="shared" si="2"/>
        <v>0.288253149471962</v>
      </c>
      <c r="Q50" s="122">
        <f t="shared" si="2"/>
        <v>0.152785173865974</v>
      </c>
    </row>
    <row r="51" spans="1:17" ht="11.25">
      <c r="A51" s="6" t="s">
        <v>169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ht="11.25">
      <c r="B52" s="122">
        <f>+B47/B46-1</f>
        <v>0.021500048751470935</v>
      </c>
      <c r="C52" s="122">
        <f aca="true" t="shared" si="3" ref="C52:Q52">+C47/C46-1</f>
        <v>0.03388186737379306</v>
      </c>
      <c r="D52" s="122">
        <f t="shared" si="3"/>
        <v>-0.007927936267929647</v>
      </c>
      <c r="E52" s="122">
        <f t="shared" si="3"/>
        <v>0.016062385163749804</v>
      </c>
      <c r="F52" s="122">
        <f t="shared" si="3"/>
        <v>0.20869636250154078</v>
      </c>
      <c r="G52" s="122">
        <f t="shared" si="3"/>
        <v>0.0369881097580671</v>
      </c>
      <c r="H52" s="122">
        <f t="shared" si="3"/>
        <v>0.028992656035056408</v>
      </c>
      <c r="I52" s="122">
        <f t="shared" si="3"/>
        <v>0.015099429963883138</v>
      </c>
      <c r="J52" s="122">
        <f t="shared" si="3"/>
        <v>-0.011166954967311238</v>
      </c>
      <c r="K52" s="122">
        <f t="shared" si="3"/>
        <v>0.03771186440677976</v>
      </c>
      <c r="L52" s="122">
        <f t="shared" si="3"/>
        <v>-0.00010403640000089531</v>
      </c>
      <c r="M52" s="122">
        <f t="shared" si="3"/>
        <v>-0.007829842496806738</v>
      </c>
      <c r="N52" s="122">
        <f t="shared" si="3"/>
        <v>-0.0501803133715929</v>
      </c>
      <c r="O52" s="122">
        <f t="shared" si="3"/>
        <v>0.008903117467086386</v>
      </c>
      <c r="P52" s="122">
        <f t="shared" si="3"/>
        <v>0.06315962148770238</v>
      </c>
      <c r="Q52" s="122">
        <f t="shared" si="3"/>
        <v>0.05862057065235593</v>
      </c>
    </row>
  </sheetData>
  <conditionalFormatting sqref="B5:B15">
    <cfRule type="cellIs" priority="1" dxfId="2" operator="notEqual" stopIfTrue="1">
      <formula>SUM($C5:$Q5)</formula>
    </cfRule>
  </conditionalFormatting>
  <conditionalFormatting sqref="B50:Q52 B20:Q22 R20:S20 R22:S22">
    <cfRule type="cellIs" priority="2" dxfId="1" operator="lessThanOrEqual" stopIfTrue="1">
      <formula>0</formula>
    </cfRule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U16"/>
  <sheetViews>
    <sheetView workbookViewId="0" topLeftCell="A1">
      <selection activeCell="Q15" sqref="Q15"/>
    </sheetView>
  </sheetViews>
  <sheetFormatPr defaultColWidth="9.140625" defaultRowHeight="12.75"/>
  <cols>
    <col min="1" max="16384" width="6.7109375" style="157" customWidth="1"/>
  </cols>
  <sheetData>
    <row r="1" spans="1:4" ht="11.25">
      <c r="A1" s="144" t="s">
        <v>120</v>
      </c>
      <c r="B1" s="144"/>
      <c r="C1" s="144"/>
      <c r="D1" s="144"/>
    </row>
    <row r="2" spans="1:4" ht="11.25">
      <c r="A2" s="158" t="s">
        <v>3</v>
      </c>
      <c r="B2" s="144"/>
      <c r="C2" s="144"/>
      <c r="D2" s="144"/>
    </row>
    <row r="4" spans="1:21" ht="12">
      <c r="A4" s="159"/>
      <c r="B4" s="160" t="s">
        <v>66</v>
      </c>
      <c r="C4" s="160" t="s">
        <v>67</v>
      </c>
      <c r="D4" s="160" t="s">
        <v>68</v>
      </c>
      <c r="E4" s="160" t="s">
        <v>10</v>
      </c>
      <c r="F4" s="160" t="s">
        <v>69</v>
      </c>
      <c r="G4" s="160" t="s">
        <v>70</v>
      </c>
      <c r="H4" s="160" t="s">
        <v>71</v>
      </c>
      <c r="I4" s="160" t="s">
        <v>72</v>
      </c>
      <c r="J4" s="160" t="s">
        <v>73</v>
      </c>
      <c r="K4" s="160" t="s">
        <v>74</v>
      </c>
      <c r="L4" s="160" t="s">
        <v>75</v>
      </c>
      <c r="M4" s="160" t="s">
        <v>76</v>
      </c>
      <c r="N4" s="160" t="s">
        <v>19</v>
      </c>
      <c r="O4" s="160" t="s">
        <v>20</v>
      </c>
      <c r="P4" s="160" t="s">
        <v>79</v>
      </c>
      <c r="Q4" s="161" t="s">
        <v>112</v>
      </c>
      <c r="R4" s="161" t="s">
        <v>113</v>
      </c>
      <c r="S4" s="162" t="s">
        <v>114</v>
      </c>
      <c r="T4" s="162" t="s">
        <v>115</v>
      </c>
      <c r="U4" s="162" t="s">
        <v>116</v>
      </c>
    </row>
    <row r="5" spans="1:21" ht="12">
      <c r="A5" s="163">
        <v>1991</v>
      </c>
      <c r="B5" s="139">
        <v>6.771</v>
      </c>
      <c r="C5" s="139">
        <v>3.468</v>
      </c>
      <c r="D5" s="139">
        <v>57.034</v>
      </c>
      <c r="E5" s="139">
        <v>1.995</v>
      </c>
      <c r="F5" s="139">
        <v>15.022</v>
      </c>
      <c r="G5" s="139">
        <v>62.301</v>
      </c>
      <c r="H5" s="139">
        <v>1.29</v>
      </c>
      <c r="I5" s="139">
        <v>45.065</v>
      </c>
      <c r="J5" s="139">
        <v>0.272</v>
      </c>
      <c r="K5" s="139">
        <v>15.195</v>
      </c>
      <c r="L5" s="139">
        <v>9.38</v>
      </c>
      <c r="M5" s="139">
        <v>5.691888</v>
      </c>
      <c r="N5" s="139">
        <v>3.23</v>
      </c>
      <c r="O5" s="139">
        <v>5.7447</v>
      </c>
      <c r="P5" s="139">
        <v>32.7</v>
      </c>
      <c r="Q5" s="139">
        <v>0</v>
      </c>
      <c r="R5" s="139">
        <v>2.07</v>
      </c>
      <c r="S5" s="139">
        <v>265.159588</v>
      </c>
      <c r="T5" s="139">
        <v>38.849305</v>
      </c>
      <c r="U5" s="139" t="s">
        <v>4</v>
      </c>
    </row>
    <row r="6" spans="1:21" ht="12">
      <c r="A6" s="163">
        <v>1992</v>
      </c>
      <c r="B6" s="139">
        <v>6.798</v>
      </c>
      <c r="C6" s="139">
        <v>3.561</v>
      </c>
      <c r="D6" s="139">
        <v>57.24</v>
      </c>
      <c r="E6" s="139">
        <v>2.046</v>
      </c>
      <c r="F6" s="139">
        <v>16.302</v>
      </c>
      <c r="G6" s="139">
        <v>62.257</v>
      </c>
      <c r="H6" s="139">
        <v>1.226</v>
      </c>
      <c r="I6" s="139">
        <v>44.408</v>
      </c>
      <c r="J6" s="139">
        <v>0.255</v>
      </c>
      <c r="K6" s="139">
        <v>14.98</v>
      </c>
      <c r="L6" s="139">
        <v>9.731</v>
      </c>
      <c r="M6" s="139">
        <v>5.694121</v>
      </c>
      <c r="N6" s="139">
        <v>3.057</v>
      </c>
      <c r="O6" s="139">
        <v>5.5846</v>
      </c>
      <c r="P6" s="139">
        <v>31.9</v>
      </c>
      <c r="Q6" s="139">
        <v>0</v>
      </c>
      <c r="R6" s="139">
        <v>2.16</v>
      </c>
      <c r="S6" s="139">
        <v>265.039721</v>
      </c>
      <c r="T6" s="139">
        <v>38.854132</v>
      </c>
      <c r="U6" s="139" t="s">
        <v>4</v>
      </c>
    </row>
    <row r="7" spans="1:21" ht="12">
      <c r="A7" s="163">
        <v>1993</v>
      </c>
      <c r="B7" s="139">
        <v>6.694</v>
      </c>
      <c r="C7" s="139">
        <v>3.525</v>
      </c>
      <c r="D7" s="139">
        <v>58.003</v>
      </c>
      <c r="E7" s="139">
        <v>1.726</v>
      </c>
      <c r="F7" s="139">
        <v>15.234</v>
      </c>
      <c r="G7" s="139">
        <v>58.603</v>
      </c>
      <c r="H7" s="139">
        <v>1.274</v>
      </c>
      <c r="I7" s="139">
        <v>42.72</v>
      </c>
      <c r="J7" s="139">
        <v>0.262</v>
      </c>
      <c r="K7" s="139">
        <v>14.788</v>
      </c>
      <c r="L7" s="139">
        <v>9.6</v>
      </c>
      <c r="M7" s="139">
        <v>5.397097</v>
      </c>
      <c r="N7" s="139">
        <v>3.007</v>
      </c>
      <c r="O7" s="139">
        <v>5.990591998999999</v>
      </c>
      <c r="P7" s="139">
        <v>30.6</v>
      </c>
      <c r="Q7" s="139">
        <v>0</v>
      </c>
      <c r="R7" s="139">
        <v>2.22</v>
      </c>
      <c r="S7" s="139">
        <v>257.42368899900003</v>
      </c>
      <c r="T7" s="139">
        <v>37.60233</v>
      </c>
      <c r="U7" s="139" t="s">
        <v>4</v>
      </c>
    </row>
    <row r="8" spans="1:21" ht="12">
      <c r="A8" s="163">
        <v>1994</v>
      </c>
      <c r="B8" s="139">
        <v>6.638</v>
      </c>
      <c r="C8" s="139">
        <v>3.623</v>
      </c>
      <c r="D8" s="139">
        <v>61.327</v>
      </c>
      <c r="E8" s="139">
        <v>1.399</v>
      </c>
      <c r="F8" s="139">
        <v>14.853</v>
      </c>
      <c r="G8" s="139">
        <v>58.928</v>
      </c>
      <c r="H8" s="139">
        <v>1.26</v>
      </c>
      <c r="I8" s="139">
        <v>43.375</v>
      </c>
      <c r="J8" s="139">
        <v>0.289</v>
      </c>
      <c r="K8" s="139">
        <v>14.439</v>
      </c>
      <c r="L8" s="139">
        <v>9.384</v>
      </c>
      <c r="M8" s="139">
        <v>5.149241</v>
      </c>
      <c r="N8" s="139">
        <v>3.037</v>
      </c>
      <c r="O8" s="139">
        <v>6.061930999999999</v>
      </c>
      <c r="P8" s="139">
        <v>29</v>
      </c>
      <c r="Q8" s="139">
        <v>0</v>
      </c>
      <c r="R8" s="139">
        <v>2.33</v>
      </c>
      <c r="S8" s="139">
        <v>258.76317199999994</v>
      </c>
      <c r="T8" s="139">
        <v>39.557265</v>
      </c>
      <c r="U8" s="139">
        <v>396.333</v>
      </c>
    </row>
    <row r="9" spans="1:21" ht="12">
      <c r="A9" s="163">
        <v>1995</v>
      </c>
      <c r="B9" s="139">
        <v>6.757</v>
      </c>
      <c r="C9" s="139">
        <v>3.471</v>
      </c>
      <c r="D9" s="139">
        <v>74.97</v>
      </c>
      <c r="E9" s="139">
        <v>1.568</v>
      </c>
      <c r="F9" s="139">
        <v>15.313</v>
      </c>
      <c r="G9" s="139">
        <v>55.563</v>
      </c>
      <c r="H9" s="139">
        <v>1.291</v>
      </c>
      <c r="I9" s="139">
        <v>43.859</v>
      </c>
      <c r="J9" s="139">
        <v>0.287</v>
      </c>
      <c r="K9" s="139">
        <v>13.977</v>
      </c>
      <c r="L9" s="139">
        <v>9.8</v>
      </c>
      <c r="M9" s="139">
        <v>4.839683</v>
      </c>
      <c r="N9" s="139">
        <v>3.184</v>
      </c>
      <c r="O9" s="139">
        <v>6.352932588000001</v>
      </c>
      <c r="P9" s="139">
        <v>30.2</v>
      </c>
      <c r="Q9" s="139">
        <v>0</v>
      </c>
      <c r="R9" s="139">
        <v>2.3</v>
      </c>
      <c r="S9" s="139">
        <v>271.43261558800003</v>
      </c>
      <c r="T9" s="139">
        <v>39.175932</v>
      </c>
      <c r="U9" s="139">
        <v>400.057</v>
      </c>
    </row>
    <row r="10" spans="1:21" ht="12">
      <c r="A10" s="163">
        <v>1996</v>
      </c>
      <c r="B10" s="139">
        <v>6.788</v>
      </c>
      <c r="C10" s="139">
        <v>3.418</v>
      </c>
      <c r="D10" s="139">
        <v>75.9752</v>
      </c>
      <c r="E10" s="139">
        <v>1.751</v>
      </c>
      <c r="F10" s="139">
        <v>15.605</v>
      </c>
      <c r="G10" s="139">
        <v>59.773</v>
      </c>
      <c r="H10" s="139">
        <v>1.295</v>
      </c>
      <c r="I10" s="139">
        <v>44.782</v>
      </c>
      <c r="J10" s="139">
        <v>0.284</v>
      </c>
      <c r="K10" s="139">
        <v>14.091</v>
      </c>
      <c r="L10" s="139">
        <v>9.82</v>
      </c>
      <c r="M10" s="139">
        <v>4.5031989999999995</v>
      </c>
      <c r="N10" s="139">
        <v>3.254</v>
      </c>
      <c r="O10" s="139">
        <v>6.383795995000001</v>
      </c>
      <c r="P10" s="139">
        <v>32.3</v>
      </c>
      <c r="Q10" s="139">
        <v>0</v>
      </c>
      <c r="R10" s="139">
        <v>2.38</v>
      </c>
      <c r="S10" s="139">
        <v>280.023194995</v>
      </c>
      <c r="T10" s="139">
        <v>40.113979</v>
      </c>
      <c r="U10" s="139">
        <v>402.156</v>
      </c>
    </row>
    <row r="11" spans="1:21" ht="12">
      <c r="A11" s="163">
        <v>1997</v>
      </c>
      <c r="B11" s="139">
        <v>6.98</v>
      </c>
      <c r="C11" s="139">
        <v>3.793</v>
      </c>
      <c r="D11" s="139">
        <v>73.9171</v>
      </c>
      <c r="E11" s="139">
        <v>1.884</v>
      </c>
      <c r="F11" s="139">
        <v>16.579</v>
      </c>
      <c r="G11" s="139">
        <v>61.573</v>
      </c>
      <c r="H11" s="139">
        <v>1.387</v>
      </c>
      <c r="I11" s="139">
        <v>43.591</v>
      </c>
      <c r="J11" s="139">
        <v>0.295</v>
      </c>
      <c r="K11" s="139">
        <v>14.2</v>
      </c>
      <c r="L11" s="139">
        <v>8.1</v>
      </c>
      <c r="M11" s="139">
        <v>4.563112</v>
      </c>
      <c r="N11" s="139">
        <v>3.376</v>
      </c>
      <c r="O11" s="139">
        <v>6.95357806</v>
      </c>
      <c r="P11" s="139">
        <v>34.9</v>
      </c>
      <c r="Q11" s="139">
        <v>0</v>
      </c>
      <c r="R11" s="139">
        <v>2.51</v>
      </c>
      <c r="S11" s="139">
        <v>282.09179006</v>
      </c>
      <c r="T11" s="139">
        <v>40.643339999999995</v>
      </c>
      <c r="U11" s="139">
        <v>395.238</v>
      </c>
    </row>
    <row r="12" spans="1:21" ht="12">
      <c r="A12" s="163">
        <v>1998</v>
      </c>
      <c r="B12" s="139">
        <v>7.097</v>
      </c>
      <c r="C12" s="139">
        <v>3.948</v>
      </c>
      <c r="D12" s="139">
        <v>72.3891</v>
      </c>
      <c r="E12" s="139">
        <v>1.552</v>
      </c>
      <c r="F12" s="139">
        <v>17.475</v>
      </c>
      <c r="G12" s="139">
        <v>64.186</v>
      </c>
      <c r="H12" s="139">
        <v>1.421</v>
      </c>
      <c r="I12" s="139">
        <v>41.392</v>
      </c>
      <c r="J12" s="139">
        <v>0.295</v>
      </c>
      <c r="K12" s="139">
        <v>14.9</v>
      </c>
      <c r="L12" s="139">
        <v>8.15</v>
      </c>
      <c r="M12" s="139">
        <v>4.602185</v>
      </c>
      <c r="N12" s="139">
        <v>3.377</v>
      </c>
      <c r="O12" s="139">
        <v>7.150319259000001</v>
      </c>
      <c r="P12" s="139">
        <v>36.5</v>
      </c>
      <c r="Q12" s="139">
        <v>0</v>
      </c>
      <c r="R12" s="139">
        <v>2.59</v>
      </c>
      <c r="S12" s="139">
        <v>284.434604259</v>
      </c>
      <c r="T12" s="139">
        <v>42.303828</v>
      </c>
      <c r="U12" s="139">
        <v>388.939</v>
      </c>
    </row>
    <row r="13" spans="1:21" ht="12">
      <c r="A13" s="163">
        <v>1999</v>
      </c>
      <c r="B13" s="139">
        <v>7.354</v>
      </c>
      <c r="C13" s="139">
        <v>3.93</v>
      </c>
      <c r="D13" s="139">
        <v>73.5877</v>
      </c>
      <c r="E13" s="139">
        <v>1.88</v>
      </c>
      <c r="F13" s="139">
        <v>18.143</v>
      </c>
      <c r="G13" s="139">
        <v>66.298</v>
      </c>
      <c r="H13" s="139">
        <v>1.458</v>
      </c>
      <c r="I13" s="139">
        <v>40.971</v>
      </c>
      <c r="J13" s="139">
        <v>0.31</v>
      </c>
      <c r="K13" s="139">
        <v>15</v>
      </c>
      <c r="L13" s="139">
        <v>8.1</v>
      </c>
      <c r="M13" s="139">
        <v>4.3804549999999995</v>
      </c>
      <c r="N13" s="139">
        <v>3.415</v>
      </c>
      <c r="O13" s="139">
        <v>7.6067399999999985</v>
      </c>
      <c r="P13" s="139">
        <v>38.8</v>
      </c>
      <c r="Q13" s="139">
        <v>0</v>
      </c>
      <c r="R13" s="139">
        <v>2.81</v>
      </c>
      <c r="S13" s="139">
        <v>291.233895</v>
      </c>
      <c r="T13" s="139">
        <v>43.439782</v>
      </c>
      <c r="U13" s="139">
        <v>385.101</v>
      </c>
    </row>
    <row r="14" spans="1:21" ht="12">
      <c r="A14" s="163">
        <v>2000</v>
      </c>
      <c r="B14" s="139">
        <v>7.732</v>
      </c>
      <c r="C14" s="139">
        <v>4.145</v>
      </c>
      <c r="D14" s="139">
        <v>75.037</v>
      </c>
      <c r="E14" s="139">
        <v>1.63</v>
      </c>
      <c r="F14" s="139">
        <v>18.547</v>
      </c>
      <c r="G14" s="139">
        <v>69.9</v>
      </c>
      <c r="H14" s="139">
        <v>1.39</v>
      </c>
      <c r="I14" s="139">
        <v>43.752</v>
      </c>
      <c r="J14" s="139">
        <v>0.332</v>
      </c>
      <c r="K14" s="139">
        <v>15.4</v>
      </c>
      <c r="L14" s="139">
        <v>8.206</v>
      </c>
      <c r="M14" s="139">
        <v>3.83</v>
      </c>
      <c r="N14" s="139">
        <v>3.41</v>
      </c>
      <c r="O14" s="139">
        <v>8.230114499999999</v>
      </c>
      <c r="P14" s="139">
        <v>39.1</v>
      </c>
      <c r="Q14" s="139">
        <v>0</v>
      </c>
      <c r="R14" s="139">
        <v>2.78</v>
      </c>
      <c r="S14" s="139">
        <v>300.6411145</v>
      </c>
      <c r="T14" s="139">
        <v>46.249095999999994</v>
      </c>
      <c r="U14" s="139">
        <v>384.442</v>
      </c>
    </row>
    <row r="15" spans="1:21" ht="12">
      <c r="A15" s="163">
        <v>2001</v>
      </c>
      <c r="B15" s="139">
        <v>8.038</v>
      </c>
      <c r="C15" s="139">
        <v>4.38</v>
      </c>
      <c r="D15" s="139">
        <v>75.314</v>
      </c>
      <c r="E15" s="139" t="s">
        <v>4</v>
      </c>
      <c r="F15" s="139">
        <v>19.19</v>
      </c>
      <c r="G15" s="139">
        <v>71.4</v>
      </c>
      <c r="H15" s="139">
        <v>1.52</v>
      </c>
      <c r="I15" s="139" t="s">
        <v>4</v>
      </c>
      <c r="J15" s="139">
        <v>0.346</v>
      </c>
      <c r="K15" s="139">
        <v>15.5</v>
      </c>
      <c r="L15" s="139" t="s">
        <v>4</v>
      </c>
      <c r="M15" s="139" t="s">
        <v>4</v>
      </c>
      <c r="N15" s="139" t="s">
        <v>4</v>
      </c>
      <c r="O15" s="139">
        <v>8.6024005</v>
      </c>
      <c r="P15" s="139" t="s">
        <v>4</v>
      </c>
      <c r="Q15" s="139">
        <v>0</v>
      </c>
      <c r="R15" s="139" t="s">
        <v>4</v>
      </c>
      <c r="S15" s="139" t="s">
        <v>4</v>
      </c>
      <c r="T15" s="139" t="s">
        <v>4</v>
      </c>
      <c r="U15" s="139">
        <v>385.405</v>
      </c>
    </row>
    <row r="16" spans="1:18" ht="11.25">
      <c r="A16" s="149"/>
      <c r="B16" s="140"/>
      <c r="C16" s="140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Q48"/>
  <sheetViews>
    <sheetView workbookViewId="0" topLeftCell="A1">
      <selection activeCell="A5" sqref="A5:Q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59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37"/>
      <c r="B4" s="37" t="s">
        <v>5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13</v>
      </c>
      <c r="J4" s="37" t="s">
        <v>14</v>
      </c>
      <c r="K4" s="37" t="s">
        <v>15</v>
      </c>
      <c r="L4" s="37" t="s">
        <v>16</v>
      </c>
      <c r="M4" s="37" t="s">
        <v>17</v>
      </c>
      <c r="N4" s="37" t="s">
        <v>18</v>
      </c>
      <c r="O4" s="37" t="s">
        <v>19</v>
      </c>
      <c r="P4" s="37" t="s">
        <v>20</v>
      </c>
      <c r="Q4" s="37" t="s">
        <v>21</v>
      </c>
    </row>
    <row r="5" spans="1:17" ht="11.25">
      <c r="A5" s="53">
        <v>1991</v>
      </c>
      <c r="B5" s="28" t="e">
        <f>SUM(C5:Q5)</f>
        <v>#N/A</v>
      </c>
      <c r="C5" s="28" t="e">
        <f>NA()</f>
        <v>#N/A</v>
      </c>
      <c r="D5" s="28" t="e">
        <f>NA()</f>
        <v>#N/A</v>
      </c>
      <c r="E5" s="28" t="e">
        <f>NA()</f>
        <v>#N/A</v>
      </c>
      <c r="F5" s="28" t="e">
        <f>NA()</f>
        <v>#N/A</v>
      </c>
      <c r="G5" s="28" t="e">
        <f>NA()</f>
        <v>#N/A</v>
      </c>
      <c r="H5" s="28" t="e">
        <f>NA()</f>
        <v>#N/A</v>
      </c>
      <c r="I5" s="28" t="e">
        <f>NA()</f>
        <v>#N/A</v>
      </c>
      <c r="J5" s="28" t="e">
        <f>NA()</f>
        <v>#N/A</v>
      </c>
      <c r="K5" s="28" t="e">
        <f>NA()</f>
        <v>#N/A</v>
      </c>
      <c r="L5" s="28" t="e">
        <f>NA()</f>
        <v>#N/A</v>
      </c>
      <c r="M5" s="28" t="e">
        <f>NA()</f>
        <v>#N/A</v>
      </c>
      <c r="N5" s="28" t="e">
        <f>NA()</f>
        <v>#N/A</v>
      </c>
      <c r="O5" s="28" t="e">
        <f>NA()</f>
        <v>#N/A</v>
      </c>
      <c r="P5" s="28" t="e">
        <f>NA()</f>
        <v>#N/A</v>
      </c>
      <c r="Q5" s="28" t="e">
        <f>NA()</f>
        <v>#N/A</v>
      </c>
    </row>
    <row r="6" spans="1:17" ht="11.25">
      <c r="A6" s="53">
        <v>1992</v>
      </c>
      <c r="B6" s="28" t="e">
        <f>SUM(C6:Q6)</f>
        <v>#N/A</v>
      </c>
      <c r="C6" s="28" t="e">
        <f>NA()</f>
        <v>#N/A</v>
      </c>
      <c r="D6" s="28" t="e">
        <f>NA()</f>
        <v>#N/A</v>
      </c>
      <c r="E6" s="28" t="e">
        <f>NA()</f>
        <v>#N/A</v>
      </c>
      <c r="F6" s="28" t="e">
        <f>NA()</f>
        <v>#N/A</v>
      </c>
      <c r="G6" s="28" t="e">
        <f>NA()</f>
        <v>#N/A</v>
      </c>
      <c r="H6" s="28" t="e">
        <f>NA()</f>
        <v>#N/A</v>
      </c>
      <c r="I6" s="28" t="e">
        <f>NA()</f>
        <v>#N/A</v>
      </c>
      <c r="J6" s="28" t="e">
        <f>NA()</f>
        <v>#N/A</v>
      </c>
      <c r="K6" s="28" t="e">
        <f>NA()</f>
        <v>#N/A</v>
      </c>
      <c r="L6" s="28" t="e">
        <f>NA()</f>
        <v>#N/A</v>
      </c>
      <c r="M6" s="28" t="e">
        <f>NA()</f>
        <v>#N/A</v>
      </c>
      <c r="N6" s="28" t="e">
        <f>NA()</f>
        <v>#N/A</v>
      </c>
      <c r="O6" s="28" t="e">
        <f>NA()</f>
        <v>#N/A</v>
      </c>
      <c r="P6" s="28" t="e">
        <f>NA()</f>
        <v>#N/A</v>
      </c>
      <c r="Q6" s="28" t="e">
        <f>NA()</f>
        <v>#N/A</v>
      </c>
    </row>
    <row r="7" spans="1:17" ht="11.25">
      <c r="A7" s="53">
        <v>1993</v>
      </c>
      <c r="B7" s="28" t="e">
        <f aca="true" t="shared" si="0" ref="B7:B15">SUM(C7:Q7)</f>
        <v>#N/A</v>
      </c>
      <c r="C7" s="28" t="e">
        <f>NA()</f>
        <v>#N/A</v>
      </c>
      <c r="D7" s="28" t="e">
        <f>NA()</f>
        <v>#N/A</v>
      </c>
      <c r="E7" s="28" t="e">
        <f>NA()</f>
        <v>#N/A</v>
      </c>
      <c r="F7" s="28" t="e">
        <f>NA()</f>
        <v>#N/A</v>
      </c>
      <c r="G7" s="28" t="e">
        <f>NA()</f>
        <v>#N/A</v>
      </c>
      <c r="H7" s="28" t="e">
        <f>NA()</f>
        <v>#N/A</v>
      </c>
      <c r="I7" s="28" t="e">
        <f>NA()</f>
        <v>#N/A</v>
      </c>
      <c r="J7" s="28" t="e">
        <f>NA()</f>
        <v>#N/A</v>
      </c>
      <c r="K7" s="28" t="e">
        <f>NA()</f>
        <v>#N/A</v>
      </c>
      <c r="L7" s="28" t="e">
        <f>NA()</f>
        <v>#N/A</v>
      </c>
      <c r="M7" s="28" t="e">
        <f>NA()</f>
        <v>#N/A</v>
      </c>
      <c r="N7" s="28" t="e">
        <f>NA()</f>
        <v>#N/A</v>
      </c>
      <c r="O7" s="28" t="e">
        <f>NA()</f>
        <v>#N/A</v>
      </c>
      <c r="P7" s="28" t="e">
        <f>NA()</f>
        <v>#N/A</v>
      </c>
      <c r="Q7" s="28" t="e">
        <f>NA()</f>
        <v>#N/A</v>
      </c>
    </row>
    <row r="8" spans="1:17" ht="11.25">
      <c r="A8" s="53">
        <v>1994</v>
      </c>
      <c r="B8" s="28">
        <f t="shared" si="0"/>
        <v>30.643</v>
      </c>
      <c r="C8" s="28">
        <f>+basedata_wb!D11</f>
        <v>0.38</v>
      </c>
      <c r="D8" s="28">
        <f>+basedata_wb!E11</f>
        <v>2.7</v>
      </c>
      <c r="E8" s="28">
        <f>+basedata_wb!F11</f>
        <v>1.97</v>
      </c>
      <c r="F8" s="28">
        <f>+basedata_wb!G11</f>
        <v>4.5</v>
      </c>
      <c r="G8" s="28">
        <f>+basedata_wb!H11</f>
        <v>1.133</v>
      </c>
      <c r="H8" s="28">
        <f>+basedata_wb!I11</f>
        <v>2.9</v>
      </c>
      <c r="I8" s="28">
        <f>+basedata_wb!J11</f>
        <v>0.6</v>
      </c>
      <c r="J8" s="28">
        <f>+basedata_wb!K11</f>
        <v>3.23</v>
      </c>
      <c r="K8" s="28">
        <f>+basedata_wb!L11</f>
        <v>0</v>
      </c>
      <c r="L8" s="28">
        <f>+basedata_wb!M11</f>
        <v>0.7</v>
      </c>
      <c r="M8" s="28">
        <f>+basedata_wb!N11</f>
        <v>0.03</v>
      </c>
      <c r="N8" s="28">
        <f>+basedata_wb!O11</f>
        <v>0.17</v>
      </c>
      <c r="O8" s="28">
        <f>+basedata_wb!P11</f>
        <v>3.2</v>
      </c>
      <c r="P8" s="28">
        <f>+basedata_wb!Q11</f>
        <v>4.38</v>
      </c>
      <c r="Q8" s="28">
        <f>+basedata_wb!R11</f>
        <v>4.75</v>
      </c>
    </row>
    <row r="9" spans="1:17" ht="11.25">
      <c r="A9" s="53">
        <v>1995</v>
      </c>
      <c r="B9" s="28">
        <f t="shared" si="0"/>
        <v>31.451000000000004</v>
      </c>
      <c r="C9" s="28">
        <f>+basedata_wb!D12</f>
        <v>0.392</v>
      </c>
      <c r="D9" s="28">
        <f>+basedata_wb!E12</f>
        <v>2.732</v>
      </c>
      <c r="E9" s="28">
        <f>+basedata_wb!F12</f>
        <v>1.968</v>
      </c>
      <c r="F9" s="28">
        <f>+basedata_wb!G12</f>
        <v>4.558</v>
      </c>
      <c r="G9" s="28">
        <f>+basedata_wb!H12</f>
        <v>1.185</v>
      </c>
      <c r="H9" s="28">
        <f>+basedata_wb!I12</f>
        <v>2.97</v>
      </c>
      <c r="I9" s="28">
        <f>+basedata_wb!J12</f>
        <v>0.657</v>
      </c>
      <c r="J9" s="28">
        <f>+basedata_wb!K12</f>
        <v>3.54</v>
      </c>
      <c r="K9" s="28">
        <f>+basedata_wb!L12</f>
        <v>0</v>
      </c>
      <c r="L9" s="28">
        <f>+basedata_wb!M12</f>
        <v>0.704</v>
      </c>
      <c r="M9" s="28">
        <f>+basedata_wb!N12</f>
        <v>0.03</v>
      </c>
      <c r="N9" s="28">
        <f>+basedata_wb!O12</f>
        <v>0.16</v>
      </c>
      <c r="O9" s="28">
        <f>+basedata_wb!P12</f>
        <v>3.266</v>
      </c>
      <c r="P9" s="28">
        <f>+basedata_wb!Q12</f>
        <v>4.443</v>
      </c>
      <c r="Q9" s="28">
        <f>+basedata_wb!R12</f>
        <v>4.846</v>
      </c>
    </row>
    <row r="10" spans="1:17" ht="11.25">
      <c r="A10" s="53">
        <v>1996</v>
      </c>
      <c r="B10" s="28">
        <f t="shared" si="0"/>
        <v>31.176999999999992</v>
      </c>
      <c r="C10" s="28">
        <f>+basedata_wb!D13</f>
        <v>0.342</v>
      </c>
      <c r="D10" s="28">
        <f>+basedata_wb!E13</f>
        <v>2.771</v>
      </c>
      <c r="E10" s="28">
        <f>+basedata_wb!F13</f>
        <v>1.959</v>
      </c>
      <c r="F10" s="28">
        <f>+basedata_wb!G13</f>
        <v>4.968</v>
      </c>
      <c r="G10" s="28">
        <f>+basedata_wb!H13</f>
        <v>1.1</v>
      </c>
      <c r="H10" s="28">
        <f>+basedata_wb!I13</f>
        <v>2.804</v>
      </c>
      <c r="I10" s="28">
        <f>+basedata_wb!J13</f>
        <v>0.638</v>
      </c>
      <c r="J10" s="28">
        <f>+basedata_wb!K13</f>
        <v>3.6</v>
      </c>
      <c r="K10" s="28">
        <f>+basedata_wb!L13</f>
        <v>0</v>
      </c>
      <c r="L10" s="28">
        <f>+basedata_wb!M13</f>
        <v>0.592</v>
      </c>
      <c r="M10" s="28">
        <f>+basedata_wb!N13</f>
        <v>0.03</v>
      </c>
      <c r="N10" s="28">
        <f>+basedata_wb!O13</f>
        <v>0.173</v>
      </c>
      <c r="O10" s="28">
        <f>+basedata_wb!P13</f>
        <v>3.165</v>
      </c>
      <c r="P10" s="28">
        <f>+basedata_wb!Q13</f>
        <v>4.391</v>
      </c>
      <c r="Q10" s="28">
        <f>+basedata_wb!R13</f>
        <v>4.644</v>
      </c>
    </row>
    <row r="11" spans="1:17" ht="11.25">
      <c r="A11" s="53">
        <v>1997</v>
      </c>
      <c r="B11" s="28">
        <f t="shared" si="0"/>
        <v>32.074000000000005</v>
      </c>
      <c r="C11" s="28">
        <f>+basedata_wb!D14</f>
        <v>0.32</v>
      </c>
      <c r="D11" s="28">
        <f>+basedata_wb!E14</f>
        <v>2.787</v>
      </c>
      <c r="E11" s="28">
        <f>+basedata_wb!F14</f>
        <v>1.991</v>
      </c>
      <c r="F11" s="28">
        <f>+basedata_wb!G14</f>
        <v>5.186</v>
      </c>
      <c r="G11" s="28">
        <f>+basedata_wb!H14</f>
        <v>1.16</v>
      </c>
      <c r="H11" s="28">
        <f>+basedata_wb!I14</f>
        <v>2.803</v>
      </c>
      <c r="I11" s="28">
        <f>+basedata_wb!J14</f>
        <v>0.622</v>
      </c>
      <c r="J11" s="28">
        <f>+basedata_wb!K14</f>
        <v>3.745</v>
      </c>
      <c r="K11" s="28">
        <f>+basedata_wb!L14</f>
        <v>0</v>
      </c>
      <c r="L11" s="28">
        <f>+basedata_wb!M14</f>
        <v>0.605</v>
      </c>
      <c r="M11" s="28">
        <f>+basedata_wb!N14</f>
        <v>0.03</v>
      </c>
      <c r="N11" s="28">
        <f>+basedata_wb!O14</f>
        <v>0.175</v>
      </c>
      <c r="O11" s="28">
        <f>+basedata_wb!P14</f>
        <v>3.296</v>
      </c>
      <c r="P11" s="28">
        <f>+basedata_wb!Q14</f>
        <v>4.65</v>
      </c>
      <c r="Q11" s="28">
        <f>+basedata_wb!R14</f>
        <v>4.704</v>
      </c>
    </row>
    <row r="12" spans="1:17" ht="11.25">
      <c r="A12" s="53">
        <v>1998</v>
      </c>
      <c r="B12" s="28">
        <f t="shared" si="0"/>
        <v>32.211</v>
      </c>
      <c r="C12" s="28">
        <f>+basedata_wb!D15</f>
        <v>0.291</v>
      </c>
      <c r="D12" s="28">
        <f>+basedata_wb!E15</f>
        <v>2.668</v>
      </c>
      <c r="E12" s="28">
        <f>+basedata_wb!F15</f>
        <v>1.864</v>
      </c>
      <c r="F12" s="28">
        <f>+basedata_wb!G15</f>
        <v>5.363</v>
      </c>
      <c r="G12" s="28">
        <f>+basedata_wb!H15</f>
        <v>1.246</v>
      </c>
      <c r="H12" s="28">
        <f>+basedata_wb!I15</f>
        <v>2.847</v>
      </c>
      <c r="I12" s="28">
        <f>+basedata_wb!J15</f>
        <v>0.7</v>
      </c>
      <c r="J12" s="28">
        <f>+basedata_wb!K15</f>
        <v>3.753</v>
      </c>
      <c r="K12" s="28">
        <f>+basedata_wb!L15</f>
        <v>0</v>
      </c>
      <c r="L12" s="28">
        <f>+basedata_wb!M15</f>
        <v>0.622</v>
      </c>
      <c r="M12" s="28">
        <f>+basedata_wb!N15</f>
        <v>0.03</v>
      </c>
      <c r="N12" s="28">
        <f>+basedata_wb!O15</f>
        <v>0.2</v>
      </c>
      <c r="O12" s="28">
        <f>+basedata_wb!P15</f>
        <v>3.316</v>
      </c>
      <c r="P12" s="28">
        <f>+basedata_wb!Q15</f>
        <v>4.729</v>
      </c>
      <c r="Q12" s="28">
        <f>+basedata_wb!R15</f>
        <v>4.582</v>
      </c>
    </row>
    <row r="13" spans="1:17" ht="11.25">
      <c r="A13" s="53">
        <v>1999</v>
      </c>
      <c r="B13" s="44">
        <f>+B12*(1+B30)</f>
        <v>32.34858517802581</v>
      </c>
      <c r="C13" s="28" t="e">
        <f>NA()</f>
        <v>#N/A</v>
      </c>
      <c r="D13" s="28" t="e">
        <f>NA()</f>
        <v>#N/A</v>
      </c>
      <c r="E13" s="28" t="e">
        <f>NA()</f>
        <v>#N/A</v>
      </c>
      <c r="F13" s="28" t="e">
        <f>NA()</f>
        <v>#N/A</v>
      </c>
      <c r="G13" s="28" t="e">
        <f>NA()</f>
        <v>#N/A</v>
      </c>
      <c r="H13" s="28" t="e">
        <f>NA()</f>
        <v>#N/A</v>
      </c>
      <c r="I13" s="28" t="e">
        <f>NA()</f>
        <v>#N/A</v>
      </c>
      <c r="J13" s="28" t="e">
        <f>NA()</f>
        <v>#N/A</v>
      </c>
      <c r="K13" s="28" t="e">
        <f>NA()</f>
        <v>#N/A</v>
      </c>
      <c r="L13" s="28" t="e">
        <f>NA()</f>
        <v>#N/A</v>
      </c>
      <c r="M13" s="28" t="e">
        <f>NA()</f>
        <v>#N/A</v>
      </c>
      <c r="N13" s="28" t="e">
        <f>NA()</f>
        <v>#N/A</v>
      </c>
      <c r="O13" s="28" t="e">
        <f>NA()</f>
        <v>#N/A</v>
      </c>
      <c r="P13" s="28" t="e">
        <f>NA()</f>
        <v>#N/A</v>
      </c>
      <c r="Q13" s="28" t="e">
        <f>NA()</f>
        <v>#N/A</v>
      </c>
    </row>
    <row r="14" spans="1:17" ht="11.25">
      <c r="A14" s="53">
        <v>2000</v>
      </c>
      <c r="B14" s="28" t="e">
        <f t="shared" si="0"/>
        <v>#N/A</v>
      </c>
      <c r="C14" s="28" t="e">
        <f>NA()</f>
        <v>#N/A</v>
      </c>
      <c r="D14" s="28" t="e">
        <f>NA()</f>
        <v>#N/A</v>
      </c>
      <c r="E14" s="28" t="e">
        <f>NA()</f>
        <v>#N/A</v>
      </c>
      <c r="F14" s="28" t="e">
        <f>NA()</f>
        <v>#N/A</v>
      </c>
      <c r="G14" s="28" t="e">
        <f>NA()</f>
        <v>#N/A</v>
      </c>
      <c r="H14" s="28" t="e">
        <f>NA()</f>
        <v>#N/A</v>
      </c>
      <c r="I14" s="28" t="e">
        <f>NA()</f>
        <v>#N/A</v>
      </c>
      <c r="J14" s="28" t="e">
        <f>NA()</f>
        <v>#N/A</v>
      </c>
      <c r="K14" s="28" t="e">
        <f>NA()</f>
        <v>#N/A</v>
      </c>
      <c r="L14" s="28" t="e">
        <f>NA()</f>
        <v>#N/A</v>
      </c>
      <c r="M14" s="28" t="e">
        <f>NA()</f>
        <v>#N/A</v>
      </c>
      <c r="N14" s="28" t="e">
        <f>NA()</f>
        <v>#N/A</v>
      </c>
      <c r="O14" s="28" t="e">
        <f>NA()</f>
        <v>#N/A</v>
      </c>
      <c r="P14" s="28" t="e">
        <f>NA()</f>
        <v>#N/A</v>
      </c>
      <c r="Q14" s="28" t="e">
        <f>NA()</f>
        <v>#N/A</v>
      </c>
    </row>
    <row r="15" spans="1:17" ht="11.25">
      <c r="A15" s="53">
        <v>2001</v>
      </c>
      <c r="B15" s="28" t="e">
        <f t="shared" si="0"/>
        <v>#N/A</v>
      </c>
      <c r="C15" s="28" t="e">
        <f>NA()</f>
        <v>#N/A</v>
      </c>
      <c r="D15" s="28" t="e">
        <f>NA()</f>
        <v>#N/A</v>
      </c>
      <c r="E15" s="28" t="e">
        <f>NA()</f>
        <v>#N/A</v>
      </c>
      <c r="F15" s="28" t="e">
        <f>NA()</f>
        <v>#N/A</v>
      </c>
      <c r="G15" s="28" t="e">
        <f>NA()</f>
        <v>#N/A</v>
      </c>
      <c r="H15" s="28" t="e">
        <f>NA()</f>
        <v>#N/A</v>
      </c>
      <c r="I15" s="28" t="e">
        <f>NA()</f>
        <v>#N/A</v>
      </c>
      <c r="J15" s="28" t="e">
        <f>NA()</f>
        <v>#N/A</v>
      </c>
      <c r="K15" s="28" t="e">
        <f>NA()</f>
        <v>#N/A</v>
      </c>
      <c r="L15" s="28" t="e">
        <f>NA()</f>
        <v>#N/A</v>
      </c>
      <c r="M15" s="28" t="e">
        <f>NA()</f>
        <v>#N/A</v>
      </c>
      <c r="N15" s="28" t="e">
        <f>NA()</f>
        <v>#N/A</v>
      </c>
      <c r="O15" s="28" t="e">
        <f>NA()</f>
        <v>#N/A</v>
      </c>
      <c r="P15" s="28" t="e">
        <f>NA()</f>
        <v>#N/A</v>
      </c>
      <c r="Q15" s="28" t="e">
        <f>NA()</f>
        <v>#N/A</v>
      </c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1.25">
      <c r="A28" s="30" t="s">
        <v>51</v>
      </c>
      <c r="B28" s="30" t="s">
        <v>58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1.25">
      <c r="A29" s="30" t="s">
        <v>50</v>
      </c>
      <c r="B29" s="30" t="s">
        <v>98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ht="11.25">
      <c r="B30" s="82">
        <f>+B12/B11-1</f>
        <v>0.004271372451206457</v>
      </c>
    </row>
    <row r="31" ht="11.25">
      <c r="B31" s="30"/>
    </row>
    <row r="32" ht="11.25">
      <c r="B32" s="30"/>
    </row>
    <row r="34" ht="11.25">
      <c r="A34" s="2" t="s">
        <v>108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 t="e">
        <f>+#REF!/'[4]manip_POP_EU'!B5*1000000</f>
        <v>#REF!</v>
      </c>
      <c r="C38" s="13" t="e">
        <f>+#REF!/'[4]manip_POP_EU'!C5*1000000</f>
        <v>#REF!</v>
      </c>
      <c r="D38" s="13" t="e">
        <f>+#REF!/'[4]manip_POP_EU'!D5*1000000</f>
        <v>#REF!</v>
      </c>
      <c r="E38" s="13" t="e">
        <f>+#REF!/'[4]manip_POP_EU'!E5*1000000</f>
        <v>#REF!</v>
      </c>
      <c r="F38" s="13" t="e">
        <f>+#REF!/'[4]manip_POP_EU'!F5*1000000</f>
        <v>#REF!</v>
      </c>
      <c r="G38" s="13" t="e">
        <f>+#REF!/'[4]manip_POP_EU'!G5*1000000</f>
        <v>#REF!</v>
      </c>
      <c r="H38" s="13" t="e">
        <f>+#REF!/'[4]manip_POP_EU'!H5*1000000</f>
        <v>#REF!</v>
      </c>
      <c r="I38" s="13" t="e">
        <f>+#REF!/'[4]manip_POP_EU'!I5*1000000</f>
        <v>#REF!</v>
      </c>
      <c r="J38" s="13" t="e">
        <f>+#REF!/'[4]manip_POP_EU'!J5*1000000</f>
        <v>#REF!</v>
      </c>
      <c r="K38" s="13" t="e">
        <f>+#REF!/'[4]manip_POP_EU'!K5*1000000</f>
        <v>#REF!</v>
      </c>
      <c r="L38" s="13" t="e">
        <f>+#REF!/'[4]manip_POP_EU'!L5*1000000</f>
        <v>#REF!</v>
      </c>
      <c r="M38" s="13" t="e">
        <f>+#REF!/'[4]manip_POP_EU'!M5*1000000</f>
        <v>#REF!</v>
      </c>
      <c r="N38" s="13" t="e">
        <f>+#REF!/'[4]manip_POP_EU'!N5*1000000</f>
        <v>#REF!</v>
      </c>
      <c r="O38" s="13" t="e">
        <f>+#REF!/'[4]manip_POP_EU'!O5*1000000</f>
        <v>#REF!</v>
      </c>
      <c r="P38" s="13" t="e">
        <f>+#REF!/'[4]manip_POP_EU'!P5*1000000</f>
        <v>#REF!</v>
      </c>
      <c r="Q38" s="13" t="e">
        <f>+#REF!/'[4]manip_POP_EU'!Q5*1000000</f>
        <v>#REF!</v>
      </c>
    </row>
    <row r="39" spans="1:17" ht="11.25">
      <c r="A39" s="53">
        <v>1991</v>
      </c>
      <c r="B39" s="13" t="e">
        <f>+B5/'[4]manip_POP_EU'!B6*1000000</f>
        <v>#N/A</v>
      </c>
      <c r="C39" s="13" t="e">
        <f>+C5/'[4]manip_POP_EU'!C6*1000000</f>
        <v>#N/A</v>
      </c>
      <c r="D39" s="13" t="e">
        <f>+D5/'[4]manip_POP_EU'!D6*1000000</f>
        <v>#N/A</v>
      </c>
      <c r="E39" s="13" t="e">
        <f>+E5/'[4]manip_POP_EU'!E6*1000000</f>
        <v>#N/A</v>
      </c>
      <c r="F39" s="13" t="e">
        <f>+F5/'[4]manip_POP_EU'!F6*1000000</f>
        <v>#N/A</v>
      </c>
      <c r="G39" s="13" t="e">
        <f>+G5/'[4]manip_POP_EU'!G6*1000000</f>
        <v>#N/A</v>
      </c>
      <c r="H39" s="13" t="e">
        <f>+H5/'[4]manip_POP_EU'!H6*1000000</f>
        <v>#N/A</v>
      </c>
      <c r="I39" s="13" t="e">
        <f>+I5/'[4]manip_POP_EU'!I6*1000000</f>
        <v>#N/A</v>
      </c>
      <c r="J39" s="13" t="e">
        <f>+J5/'[4]manip_POP_EU'!J6*1000000</f>
        <v>#N/A</v>
      </c>
      <c r="K39" s="13" t="e">
        <f>+K5/'[4]manip_POP_EU'!K6*1000000</f>
        <v>#N/A</v>
      </c>
      <c r="L39" s="13" t="e">
        <f>+L5/'[4]manip_POP_EU'!L6*1000000</f>
        <v>#N/A</v>
      </c>
      <c r="M39" s="13" t="e">
        <f>+M5/'[4]manip_POP_EU'!M6*1000000</f>
        <v>#N/A</v>
      </c>
      <c r="N39" s="13" t="e">
        <f>+N5/'[4]manip_POP_EU'!N6*1000000</f>
        <v>#N/A</v>
      </c>
      <c r="O39" s="13" t="e">
        <f>+O5/'[4]manip_POP_EU'!O6*1000000</f>
        <v>#N/A</v>
      </c>
      <c r="P39" s="13" t="e">
        <f>+P5/'[4]manip_POP_EU'!P6*1000000</f>
        <v>#N/A</v>
      </c>
      <c r="Q39" s="13" t="e">
        <f>+Q5/'[4]manip_POP_EU'!Q6*1000000</f>
        <v>#N/A</v>
      </c>
    </row>
    <row r="40" spans="1:17" ht="11.25">
      <c r="A40" s="53">
        <v>1992</v>
      </c>
      <c r="B40" s="13" t="e">
        <f>+B6/'[4]manip_POP_EU'!B7*1000000</f>
        <v>#N/A</v>
      </c>
      <c r="C40" s="13" t="e">
        <f>+C6/'[4]manip_POP_EU'!C7*1000000</f>
        <v>#N/A</v>
      </c>
      <c r="D40" s="13" t="e">
        <f>+D6/'[4]manip_POP_EU'!D7*1000000</f>
        <v>#N/A</v>
      </c>
      <c r="E40" s="13" t="e">
        <f>+E6/'[4]manip_POP_EU'!E7*1000000</f>
        <v>#N/A</v>
      </c>
      <c r="F40" s="13" t="e">
        <f>+F6/'[4]manip_POP_EU'!F7*1000000</f>
        <v>#N/A</v>
      </c>
      <c r="G40" s="13" t="e">
        <f>+G6/'[4]manip_POP_EU'!G7*1000000</f>
        <v>#N/A</v>
      </c>
      <c r="H40" s="13" t="e">
        <f>+H6/'[4]manip_POP_EU'!H7*1000000</f>
        <v>#N/A</v>
      </c>
      <c r="I40" s="13" t="e">
        <f>+I6/'[4]manip_POP_EU'!I7*1000000</f>
        <v>#N/A</v>
      </c>
      <c r="J40" s="13" t="e">
        <f>+J6/'[4]manip_POP_EU'!J7*1000000</f>
        <v>#N/A</v>
      </c>
      <c r="K40" s="13" t="e">
        <f>+K6/'[4]manip_POP_EU'!K7*1000000</f>
        <v>#N/A</v>
      </c>
      <c r="L40" s="13" t="e">
        <f>+L6/'[4]manip_POP_EU'!L7*1000000</f>
        <v>#N/A</v>
      </c>
      <c r="M40" s="13" t="e">
        <f>+M6/'[4]manip_POP_EU'!M7*1000000</f>
        <v>#N/A</v>
      </c>
      <c r="N40" s="13" t="e">
        <f>+N6/'[4]manip_POP_EU'!N7*1000000</f>
        <v>#N/A</v>
      </c>
      <c r="O40" s="13" t="e">
        <f>+O6/'[4]manip_POP_EU'!O7*1000000</f>
        <v>#N/A</v>
      </c>
      <c r="P40" s="13" t="e">
        <f>+P6/'[4]manip_POP_EU'!P7*1000000</f>
        <v>#N/A</v>
      </c>
      <c r="Q40" s="13" t="e">
        <f>+Q6/'[4]manip_POP_EU'!Q7*1000000</f>
        <v>#N/A</v>
      </c>
    </row>
    <row r="41" spans="1:17" ht="11.25">
      <c r="A41" s="53">
        <v>1993</v>
      </c>
      <c r="B41" s="13" t="e">
        <f>+B7/'[4]manip_POP_EU'!B8*1000000</f>
        <v>#N/A</v>
      </c>
      <c r="C41" s="13" t="e">
        <f>+C7/'[4]manip_POP_EU'!C8*1000000</f>
        <v>#N/A</v>
      </c>
      <c r="D41" s="13" t="e">
        <f>+D7/'[4]manip_POP_EU'!D8*1000000</f>
        <v>#N/A</v>
      </c>
      <c r="E41" s="13" t="e">
        <f>+E7/'[4]manip_POP_EU'!E8*1000000</f>
        <v>#N/A</v>
      </c>
      <c r="F41" s="13" t="e">
        <f>+F7/'[4]manip_POP_EU'!F8*1000000</f>
        <v>#N/A</v>
      </c>
      <c r="G41" s="13" t="e">
        <f>+G7/'[4]manip_POP_EU'!G8*1000000</f>
        <v>#N/A</v>
      </c>
      <c r="H41" s="13" t="e">
        <f>+H7/'[4]manip_POP_EU'!H8*1000000</f>
        <v>#N/A</v>
      </c>
      <c r="I41" s="13" t="e">
        <f>+I7/'[4]manip_POP_EU'!I8*1000000</f>
        <v>#N/A</v>
      </c>
      <c r="J41" s="13" t="e">
        <f>+J7/'[4]manip_POP_EU'!J8*1000000</f>
        <v>#N/A</v>
      </c>
      <c r="K41" s="13" t="e">
        <f>+K7/'[4]manip_POP_EU'!K8*1000000</f>
        <v>#N/A</v>
      </c>
      <c r="L41" s="13" t="e">
        <f>+L7/'[4]manip_POP_EU'!L8*1000000</f>
        <v>#N/A</v>
      </c>
      <c r="M41" s="13" t="e">
        <f>+M7/'[4]manip_POP_EU'!M8*1000000</f>
        <v>#N/A</v>
      </c>
      <c r="N41" s="13" t="e">
        <f>+N7/'[4]manip_POP_EU'!N8*1000000</f>
        <v>#N/A</v>
      </c>
      <c r="O41" s="13" t="e">
        <f>+O7/'[4]manip_POP_EU'!O8*1000000</f>
        <v>#N/A</v>
      </c>
      <c r="P41" s="13" t="e">
        <f>+P7/'[4]manip_POP_EU'!P8*1000000</f>
        <v>#N/A</v>
      </c>
      <c r="Q41" s="13" t="e">
        <f>+Q7/'[4]manip_POP_EU'!Q8*1000000</f>
        <v>#N/A</v>
      </c>
    </row>
    <row r="42" spans="1:17" ht="11.25">
      <c r="A42" s="53">
        <v>1994</v>
      </c>
      <c r="B42" s="13">
        <f>+B8/'[4]manip_POP_EU'!B9*1000000</f>
        <v>82.65436301775738</v>
      </c>
      <c r="C42" s="13">
        <f>+C8/'[4]manip_POP_EU'!C9*1000000</f>
        <v>37.56574004507888</v>
      </c>
      <c r="D42" s="13">
        <f>+D8/'[4]manip_POP_EU'!D9*1000000</f>
        <v>518.7319884726224</v>
      </c>
      <c r="E42" s="13">
        <f>+E8/'[4]manip_POP_EU'!E9*1000000</f>
        <v>24.16703469257569</v>
      </c>
      <c r="F42" s="13">
        <f>+F8/'[4]manip_POP_EU'!F9*1000000</f>
        <v>431.6132745060426</v>
      </c>
      <c r="G42" s="13">
        <f>+G8/'[4]manip_POP_EU'!G9*1000000</f>
        <v>28.94514983521958</v>
      </c>
      <c r="H42" s="13">
        <f>+H8/'[4]manip_POP_EU'!H9*1000000</f>
        <v>50.293785075579414</v>
      </c>
      <c r="I42" s="13">
        <f>+I8/'[4]manip_POP_EU'!I9*1000000</f>
        <v>168.03427899291455</v>
      </c>
      <c r="J42" s="13">
        <f>+J8/'[4]manip_POP_EU'!J9*1000000</f>
        <v>56.547619047619044</v>
      </c>
      <c r="K42" s="13">
        <f>+K8/'[4]manip_POP_EU'!K9*1000000</f>
        <v>0</v>
      </c>
      <c r="L42" s="13">
        <f>+L8/'[4]manip_POP_EU'!L9*1000000</f>
        <v>45.51031036081224</v>
      </c>
      <c r="M42" s="13">
        <f>+M8/'[4]manip_POP_EU'!M9*1000000</f>
        <v>3.737153534724385</v>
      </c>
      <c r="N42" s="13">
        <f>+N8/'[4]manip_POP_EU'!N9*1000000</f>
        <v>17.16824883861846</v>
      </c>
      <c r="O42" s="13">
        <f>+O8/'[4]manip_POP_EU'!O9*1000000</f>
        <v>628.8072312831598</v>
      </c>
      <c r="P42" s="13">
        <f>+P8/'[4]manip_POP_EU'!P9*1000000</f>
        <v>498.82127848576994</v>
      </c>
      <c r="Q42" s="13">
        <f>+Q8/'[4]manip_POP_EU'!Q9*1000000</f>
        <v>81.34258070040244</v>
      </c>
    </row>
    <row r="43" spans="1:17" ht="11.25">
      <c r="A43" s="53">
        <v>1995</v>
      </c>
      <c r="B43" s="13">
        <f>+B9/'[4]manip_POP_EU'!B10*1000000</f>
        <v>84.61090846090254</v>
      </c>
      <c r="C43" s="13">
        <f>+C9/'[4]manip_POP_EU'!C10*1000000</f>
        <v>38.670980980191</v>
      </c>
      <c r="D43" s="13">
        <f>+D9/'[4]manip_POP_EU'!D10*1000000</f>
        <v>522.5707727620505</v>
      </c>
      <c r="E43" s="13">
        <f>+E9/'[4]manip_POP_EU'!E10*1000000</f>
        <v>24.10523995002572</v>
      </c>
      <c r="F43" s="13">
        <f>+F9/'[4]manip_POP_EU'!F10*1000000</f>
        <v>435.8385924650985</v>
      </c>
      <c r="G43" s="13">
        <f>+G9/'[4]manip_POP_EU'!G10*1000000</f>
        <v>30.221882172915073</v>
      </c>
      <c r="H43" s="13">
        <f>+H9/'[4]manip_POP_EU'!H10*1000000</f>
        <v>51.34499688818201</v>
      </c>
      <c r="I43" s="13">
        <f>+I9/'[4]manip_POP_EU'!I10*1000000</f>
        <v>182.3986674069961</v>
      </c>
      <c r="J43" s="13">
        <f>+J9/'[4]manip_POP_EU'!J10*1000000</f>
        <v>61.883784350744705</v>
      </c>
      <c r="K43" s="13">
        <f>+K9/'[4]manip_POP_EU'!K10*1000000</f>
        <v>0</v>
      </c>
      <c r="L43" s="13">
        <f>+L9/'[4]manip_POP_EU'!L10*1000000</f>
        <v>45.536869340232855</v>
      </c>
      <c r="M43" s="13">
        <f>+M9/'[4]manip_POP_EU'!M10*1000000</f>
        <v>3.728097427612775</v>
      </c>
      <c r="N43" s="13">
        <f>+N9/'[4]manip_POP_EU'!N10*1000000</f>
        <v>16.117658910043318</v>
      </c>
      <c r="O43" s="13">
        <f>+O9/'[4]manip_POP_EU'!O10*1000000</f>
        <v>639.389193422083</v>
      </c>
      <c r="P43" s="13">
        <f>+P9/'[4]manip_POP_EU'!P10*1000000</f>
        <v>503.11403012116403</v>
      </c>
      <c r="Q43" s="13">
        <f>+Q9/'[4]manip_POP_EU'!Q10*1000000</f>
        <v>82.68777940825171</v>
      </c>
    </row>
    <row r="44" spans="1:17" ht="11.25">
      <c r="A44" s="53">
        <v>1996</v>
      </c>
      <c r="B44" s="13">
        <f>+B10/'[4]manip_POP_EU'!B11*1000000</f>
        <v>83.62757801851912</v>
      </c>
      <c r="C44" s="13">
        <f>+C10/'[4]manip_POP_EU'!C11*1000000</f>
        <v>33.67135965344098</v>
      </c>
      <c r="D44" s="13">
        <f>+D10/'[4]manip_POP_EU'!D11*1000000</f>
        <v>526.6058532877233</v>
      </c>
      <c r="E44" s="13">
        <f>+E10/'[4]manip_POP_EU'!E11*1000000</f>
        <v>23.915909756812187</v>
      </c>
      <c r="F44" s="13">
        <f>+F10/'[4]manip_POP_EU'!F11*1000000</f>
        <v>474.27207637231504</v>
      </c>
      <c r="G44" s="13">
        <f>+G10/'[4]manip_POP_EU'!G11*1000000</f>
        <v>28.009991928029603</v>
      </c>
      <c r="H44" s="13">
        <f>+H10/'[4]manip_POP_EU'!H11*1000000</f>
        <v>48.32316547754455</v>
      </c>
      <c r="I44" s="13">
        <f>+I10/'[4]manip_POP_EU'!I11*1000000</f>
        <v>175.66079295154188</v>
      </c>
      <c r="J44" s="13">
        <f>+J10/'[4]manip_POP_EU'!J11*1000000</f>
        <v>62.739630533286864</v>
      </c>
      <c r="K44" s="13">
        <f>+K10/'[4]manip_POP_EU'!K11*1000000</f>
        <v>0</v>
      </c>
      <c r="L44" s="13">
        <f>+L10/'[4]manip_POP_EU'!L11*1000000</f>
        <v>38.151704582071275</v>
      </c>
      <c r="M44" s="13">
        <f>+M10/'[4]manip_POP_EU'!M11*1000000</f>
        <v>3.722366084778128</v>
      </c>
      <c r="N44" s="13">
        <f>+N10/'[4]manip_POP_EU'!N11*1000000</f>
        <v>17.42195367573011</v>
      </c>
      <c r="O44" s="13">
        <f>+O10/'[4]manip_POP_EU'!O11*1000000</f>
        <v>617.5609756097562</v>
      </c>
      <c r="P44" s="13">
        <f>+P10/'[4]manip_POP_EU'!P11*1000000</f>
        <v>496.550944249689</v>
      </c>
      <c r="Q44" s="13">
        <f>+Q10/'[4]manip_POP_EU'!Q11*1000000</f>
        <v>78.97690554743036</v>
      </c>
    </row>
    <row r="45" spans="1:17" ht="11.25">
      <c r="A45" s="53">
        <v>1997</v>
      </c>
      <c r="B45" s="13">
        <f>+B11/'[4]manip_POP_EU'!B12*1000000</f>
        <v>85.80497257927331</v>
      </c>
      <c r="C45" s="13">
        <f>+C11/'[4]manip_POP_EU'!C12*1000000</f>
        <v>31.431097141734604</v>
      </c>
      <c r="D45" s="13">
        <f>+D11/'[4]manip_POP_EU'!D12*1000000</f>
        <v>527.4193731525182</v>
      </c>
      <c r="E45" s="13">
        <f>+E11/'[4]manip_POP_EU'!E12*1000000</f>
        <v>24.259482643077334</v>
      </c>
      <c r="F45" s="13">
        <f>+F11/'[4]manip_POP_EU'!F12*1000000</f>
        <v>494.04591788129943</v>
      </c>
      <c r="G45" s="13">
        <f>+G11/'[4]manip_POP_EU'!G12*1000000</f>
        <v>29.499275233324006</v>
      </c>
      <c r="H45" s="13">
        <f>+H11/'[4]manip_POP_EU'!H12*1000000</f>
        <v>48.154892798240795</v>
      </c>
      <c r="I45" s="13">
        <f>+I11/'[4]manip_POP_EU'!I12*1000000</f>
        <v>169.48228882833786</v>
      </c>
      <c r="J45" s="13">
        <f>+J11/'[4]manip_POP_EU'!J12*1000000</f>
        <v>65.10439302539854</v>
      </c>
      <c r="K45" s="13">
        <f>+K11/'[4]manip_POP_EU'!K12*1000000</f>
        <v>0</v>
      </c>
      <c r="L45" s="13">
        <f>+L11/'[4]manip_POP_EU'!L12*1000000</f>
        <v>38.76465688473121</v>
      </c>
      <c r="M45" s="13">
        <f>+M11/'[4]manip_POP_EU'!M12*1000000</f>
        <v>3.716468165972513</v>
      </c>
      <c r="N45" s="13">
        <f>+N11/'[4]manip_POP_EU'!N12*1000000</f>
        <v>17.596782302664653</v>
      </c>
      <c r="O45" s="13">
        <f>+O11/'[4]manip_POP_EU'!O12*1000000</f>
        <v>641.2650977462333</v>
      </c>
      <c r="P45" s="13">
        <f>+P11/'[4]manip_POP_EU'!P12*1000000</f>
        <v>525.4569780686688</v>
      </c>
      <c r="Q45" s="13">
        <f>+Q11/'[4]manip_POP_EU'!Q12*1000000</f>
        <v>79.71665339185547</v>
      </c>
    </row>
    <row r="46" spans="1:17" ht="11.25">
      <c r="A46" s="53">
        <v>1998</v>
      </c>
      <c r="B46" s="13">
        <f>+B12/'[4]manip_POP_EU'!B13*1000000</f>
        <v>85.99555992624528</v>
      </c>
      <c r="C46" s="13">
        <f>+C12/'[4]manip_POP_EU'!C13*1000000</f>
        <v>28.521023228462216</v>
      </c>
      <c r="D46" s="13">
        <f>+D12/'[4]manip_POP_EU'!D13*1000000</f>
        <v>503.3012639124694</v>
      </c>
      <c r="E46" s="13">
        <f>+E12/'[4]manip_POP_EU'!E13*1000000</f>
        <v>22.71868563140639</v>
      </c>
      <c r="F46" s="13">
        <f>+F12/'[4]manip_POP_EU'!F13*1000000</f>
        <v>510.03328578221596</v>
      </c>
      <c r="G46" s="13">
        <f>+G12/'[4]manip_POP_EU'!G13*1000000</f>
        <v>31.64765944476899</v>
      </c>
      <c r="H46" s="13">
        <f>+H12/'[4]manip_POP_EU'!H13*1000000</f>
        <v>48.751669577725266</v>
      </c>
      <c r="I46" s="13">
        <f>+I12/'[4]manip_POP_EU'!I13*1000000</f>
        <v>188.57758620689654</v>
      </c>
      <c r="J46" s="13">
        <f>+J12/'[4]manip_POP_EU'!J13*1000000</f>
        <v>65.16982704730152</v>
      </c>
      <c r="K46" s="13">
        <f>+K12/'[4]manip_POP_EU'!K13*1000000</f>
        <v>0</v>
      </c>
      <c r="L46" s="13">
        <f>+L12/'[4]manip_POP_EU'!L13*1000000</f>
        <v>39.6228818957829</v>
      </c>
      <c r="M46" s="13">
        <f>+M12/'[4]manip_POP_EU'!M13*1000000</f>
        <v>3.713583670134741</v>
      </c>
      <c r="N46" s="13">
        <f>+N12/'[4]manip_POP_EU'!N13*1000000</f>
        <v>20.064205457463885</v>
      </c>
      <c r="O46" s="13">
        <f>+O12/'[4]manip_POP_EU'!O13*1000000</f>
        <v>643.5086357461673</v>
      </c>
      <c r="P46" s="13">
        <f>+P12/'[4]manip_POP_EU'!P13*1000000</f>
        <v>534.2416231726882</v>
      </c>
      <c r="Q46" s="13">
        <f>+Q12/'[4]manip_POP_EU'!Q13*1000000</f>
        <v>77.32680786431526</v>
      </c>
    </row>
    <row r="47" spans="1:17" ht="11.25">
      <c r="A47" s="53">
        <v>1999</v>
      </c>
      <c r="B47" s="13">
        <f>+B13/'[4]manip_POP_EU'!B14*1000000</f>
        <v>86.16006464291964</v>
      </c>
      <c r="C47" s="13" t="e">
        <f>+C13/'[4]manip_POP_EU'!C14*1000000</f>
        <v>#N/A</v>
      </c>
      <c r="D47" s="13" t="e">
        <f>+D13/'[4]manip_POP_EU'!D14*1000000</f>
        <v>#N/A</v>
      </c>
      <c r="E47" s="13" t="e">
        <f>+E13/'[4]manip_POP_EU'!E14*1000000</f>
        <v>#N/A</v>
      </c>
      <c r="F47" s="13" t="e">
        <f>+F13/'[4]manip_POP_EU'!F14*1000000</f>
        <v>#N/A</v>
      </c>
      <c r="G47" s="13" t="e">
        <f>+G13/'[4]manip_POP_EU'!G14*1000000</f>
        <v>#N/A</v>
      </c>
      <c r="H47" s="13" t="e">
        <f>+H13/'[4]manip_POP_EU'!H14*1000000</f>
        <v>#N/A</v>
      </c>
      <c r="I47" s="13" t="e">
        <f>+I13/'[4]manip_POP_EU'!I14*1000000</f>
        <v>#N/A</v>
      </c>
      <c r="J47" s="13" t="e">
        <f>+J13/'[4]manip_POP_EU'!J14*1000000</f>
        <v>#N/A</v>
      </c>
      <c r="K47" s="13" t="e">
        <f>+K13/'[4]manip_POP_EU'!K14*1000000</f>
        <v>#N/A</v>
      </c>
      <c r="L47" s="13" t="e">
        <f>+L13/'[4]manip_POP_EU'!L14*1000000</f>
        <v>#N/A</v>
      </c>
      <c r="M47" s="13" t="e">
        <f>+M13/'[4]manip_POP_EU'!M14*1000000</f>
        <v>#N/A</v>
      </c>
      <c r="N47" s="13" t="e">
        <f>+N13/'[4]manip_POP_EU'!N14*1000000</f>
        <v>#N/A</v>
      </c>
      <c r="O47" s="13" t="e">
        <f>+O13/'[4]manip_POP_EU'!O14*1000000</f>
        <v>#N/A</v>
      </c>
      <c r="P47" s="13" t="e">
        <f>+P13/'[4]manip_POP_EU'!P14*1000000</f>
        <v>#N/A</v>
      </c>
      <c r="Q47" s="13" t="e">
        <f>+Q13/'[4]manip_POP_EU'!Q14*1000000</f>
        <v>#N/A</v>
      </c>
    </row>
    <row r="48" spans="2:17" ht="11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</sheetData>
  <conditionalFormatting sqref="B5:B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S20"/>
  <sheetViews>
    <sheetView workbookViewId="0" topLeftCell="A1">
      <selection activeCell="A6" sqref="A6:P6"/>
    </sheetView>
  </sheetViews>
  <sheetFormatPr defaultColWidth="9.140625" defaultRowHeight="12.75"/>
  <cols>
    <col min="1" max="1" width="8.28125" style="3" customWidth="1"/>
    <col min="2" max="18" width="6.8515625" style="3" customWidth="1"/>
    <col min="19" max="19" width="5.7109375" style="3" customWidth="1"/>
    <col min="20" max="16384" width="9.140625" style="3" customWidth="1"/>
  </cols>
  <sheetData>
    <row r="1" spans="1:3" ht="11.25">
      <c r="A1" s="2" t="s">
        <v>121</v>
      </c>
      <c r="B1" s="2"/>
      <c r="C1" s="2"/>
    </row>
    <row r="2" ht="11.25">
      <c r="R2" s="8"/>
    </row>
    <row r="3" spans="1:19" ht="11.25">
      <c r="A3" s="12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5" t="s">
        <v>21</v>
      </c>
      <c r="S3" s="91"/>
    </row>
    <row r="4" spans="1:18" ht="11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1.25">
      <c r="A5" s="18"/>
      <c r="B5" s="7"/>
      <c r="C5" s="7"/>
      <c r="R5" s="8" t="s">
        <v>3</v>
      </c>
    </row>
    <row r="6" spans="1:19" ht="11.25">
      <c r="A6" s="11">
        <v>1970</v>
      </c>
      <c r="B6" s="16">
        <v>15.415</v>
      </c>
      <c r="C6" s="17">
        <v>6.33</v>
      </c>
      <c r="D6" s="26">
        <v>0.8</v>
      </c>
      <c r="E6" s="26">
        <v>2.7</v>
      </c>
      <c r="F6" s="26">
        <v>1.4</v>
      </c>
      <c r="G6" s="26">
        <v>1.59</v>
      </c>
      <c r="H6" s="26">
        <v>1.2</v>
      </c>
      <c r="I6" s="26">
        <v>0.31</v>
      </c>
      <c r="J6" s="26">
        <v>0.24</v>
      </c>
      <c r="K6" s="26">
        <v>1.09</v>
      </c>
      <c r="L6" s="26">
        <v>0</v>
      </c>
      <c r="M6" s="26">
        <v>0.3</v>
      </c>
      <c r="N6" s="26">
        <v>0.02</v>
      </c>
      <c r="O6" s="26">
        <v>0.1</v>
      </c>
      <c r="P6" s="26">
        <v>0.87</v>
      </c>
      <c r="Q6" s="26">
        <v>3.045</v>
      </c>
      <c r="R6" s="26">
        <v>1.75</v>
      </c>
      <c r="S6" s="10"/>
    </row>
    <row r="7" spans="1:19" ht="11.25">
      <c r="A7" s="11">
        <v>1975</v>
      </c>
      <c r="B7" s="16">
        <f>IF(COUNT(D7:R7)=15,SUM(D7:R7),":")</f>
        <v>16.05</v>
      </c>
      <c r="C7" s="17">
        <f>IF(COUNT(D7,F7,H7:P7)=11,SUM(D7,F7,H7:P7),":")</f>
        <v>5.83</v>
      </c>
      <c r="D7" s="26">
        <v>0.82</v>
      </c>
      <c r="E7" s="26">
        <v>1.8</v>
      </c>
      <c r="F7" s="26">
        <v>0.57</v>
      </c>
      <c r="G7" s="26">
        <v>1.9</v>
      </c>
      <c r="H7" s="26">
        <v>0.13</v>
      </c>
      <c r="I7" s="26">
        <v>0.56</v>
      </c>
      <c r="J7" s="26">
        <v>0.45</v>
      </c>
      <c r="K7" s="26">
        <v>1.36</v>
      </c>
      <c r="L7" s="26">
        <v>0</v>
      </c>
      <c r="M7" s="26">
        <v>0.34</v>
      </c>
      <c r="N7" s="26">
        <v>0.02</v>
      </c>
      <c r="O7" s="26">
        <v>0.06</v>
      </c>
      <c r="P7" s="26">
        <v>1.52</v>
      </c>
      <c r="Q7" s="26">
        <v>4.4</v>
      </c>
      <c r="R7" s="26">
        <v>2.12</v>
      </c>
      <c r="S7" s="10"/>
    </row>
    <row r="8" spans="1:19" ht="11.25">
      <c r="A8" s="11">
        <v>1980</v>
      </c>
      <c r="B8" s="16">
        <v>21.565</v>
      </c>
      <c r="C8" s="17">
        <v>9.34</v>
      </c>
      <c r="D8" s="26">
        <v>0.6</v>
      </c>
      <c r="E8" s="26">
        <v>2.7</v>
      </c>
      <c r="F8" s="26">
        <v>1.8</v>
      </c>
      <c r="G8" s="26">
        <v>2.66</v>
      </c>
      <c r="H8" s="26">
        <v>1.2</v>
      </c>
      <c r="I8" s="26">
        <v>1</v>
      </c>
      <c r="J8" s="26">
        <v>0.4</v>
      </c>
      <c r="K8" s="26">
        <v>2.02</v>
      </c>
      <c r="L8" s="26">
        <v>0</v>
      </c>
      <c r="M8" s="26">
        <v>0.5</v>
      </c>
      <c r="N8" s="26">
        <v>0.03</v>
      </c>
      <c r="O8" s="26">
        <v>0.1</v>
      </c>
      <c r="P8" s="26">
        <v>1.69</v>
      </c>
      <c r="Q8" s="26">
        <v>3.825</v>
      </c>
      <c r="R8" s="26">
        <v>3.04</v>
      </c>
      <c r="S8" s="10"/>
    </row>
    <row r="9" spans="1:19" ht="11.25">
      <c r="A9" s="11">
        <v>1985</v>
      </c>
      <c r="B9" s="16">
        <f>IF(COUNT(D9:R9)=15,SUM(D9:R9),":")</f>
        <v>21.63</v>
      </c>
      <c r="C9" s="17">
        <f>IF(COUNT(D9,F9,H9:P9)=11,SUM(D9,F9,H9:P9),":")</f>
        <v>8.96</v>
      </c>
      <c r="D9" s="26">
        <v>0.6</v>
      </c>
      <c r="E9" s="26">
        <v>1.79</v>
      </c>
      <c r="F9" s="26">
        <v>0.63</v>
      </c>
      <c r="G9" s="26">
        <v>2.96</v>
      </c>
      <c r="H9" s="26">
        <v>0.18</v>
      </c>
      <c r="I9" s="26">
        <v>1.3</v>
      </c>
      <c r="J9" s="26">
        <v>0.85</v>
      </c>
      <c r="K9" s="26">
        <v>2.61</v>
      </c>
      <c r="L9" s="26">
        <v>0</v>
      </c>
      <c r="M9" s="26">
        <v>0.54</v>
      </c>
      <c r="N9" s="26">
        <v>0.03</v>
      </c>
      <c r="O9" s="26">
        <v>0.08</v>
      </c>
      <c r="P9" s="26">
        <v>2.14</v>
      </c>
      <c r="Q9" s="26">
        <v>4.29</v>
      </c>
      <c r="R9" s="26">
        <v>3.63</v>
      </c>
      <c r="S9" s="10"/>
    </row>
    <row r="10" spans="1:19" ht="11.25">
      <c r="A10" s="11">
        <v>1990</v>
      </c>
      <c r="B10" s="16">
        <v>28.355</v>
      </c>
      <c r="C10" s="17">
        <v>13.589</v>
      </c>
      <c r="D10" s="26">
        <v>0.426</v>
      </c>
      <c r="E10" s="26">
        <v>2.7</v>
      </c>
      <c r="F10" s="26">
        <v>1.978</v>
      </c>
      <c r="G10" s="26">
        <v>3.624</v>
      </c>
      <c r="H10" s="26">
        <v>1.057</v>
      </c>
      <c r="I10" s="26">
        <v>2.527</v>
      </c>
      <c r="J10" s="26">
        <v>0.562</v>
      </c>
      <c r="K10" s="26">
        <v>3.29</v>
      </c>
      <c r="L10" s="26">
        <v>0</v>
      </c>
      <c r="M10" s="26">
        <v>0.771</v>
      </c>
      <c r="N10" s="26">
        <v>0.03</v>
      </c>
      <c r="O10" s="26">
        <v>0.173</v>
      </c>
      <c r="P10" s="26">
        <v>2.775</v>
      </c>
      <c r="Q10" s="26">
        <v>4.264</v>
      </c>
      <c r="R10" s="26">
        <v>4.178</v>
      </c>
      <c r="S10" s="10"/>
    </row>
    <row r="11" spans="1:19" ht="11.25">
      <c r="A11" s="11">
        <v>1994</v>
      </c>
      <c r="B11" s="16">
        <v>30.643</v>
      </c>
      <c r="C11" s="17">
        <v>14.313</v>
      </c>
      <c r="D11" s="26">
        <v>0.38</v>
      </c>
      <c r="E11" s="26">
        <v>2.7</v>
      </c>
      <c r="F11" s="26">
        <v>1.97</v>
      </c>
      <c r="G11" s="26">
        <v>4.5</v>
      </c>
      <c r="H11" s="26">
        <v>1.133</v>
      </c>
      <c r="I11" s="26">
        <v>2.9</v>
      </c>
      <c r="J11" s="26">
        <v>0.6</v>
      </c>
      <c r="K11" s="26">
        <v>3.23</v>
      </c>
      <c r="L11" s="26">
        <v>0</v>
      </c>
      <c r="M11" s="26">
        <v>0.7</v>
      </c>
      <c r="N11" s="26">
        <v>0.03</v>
      </c>
      <c r="O11" s="26">
        <v>0.17</v>
      </c>
      <c r="P11" s="26">
        <v>3.2</v>
      </c>
      <c r="Q11" s="26">
        <v>4.38</v>
      </c>
      <c r="R11" s="26">
        <v>4.75</v>
      </c>
      <c r="S11" s="10"/>
    </row>
    <row r="12" spans="1:19" ht="11.25">
      <c r="A12" s="11">
        <v>1995</v>
      </c>
      <c r="B12" s="16">
        <v>31.451</v>
      </c>
      <c r="C12" s="17">
        <v>14.872</v>
      </c>
      <c r="D12" s="26">
        <v>0.392</v>
      </c>
      <c r="E12" s="26">
        <v>2.732</v>
      </c>
      <c r="F12" s="26">
        <v>1.968</v>
      </c>
      <c r="G12" s="26">
        <v>4.558</v>
      </c>
      <c r="H12" s="26">
        <v>1.185</v>
      </c>
      <c r="I12" s="26">
        <v>2.97</v>
      </c>
      <c r="J12" s="26">
        <v>0.657</v>
      </c>
      <c r="K12" s="26">
        <v>3.54</v>
      </c>
      <c r="L12" s="26">
        <v>0</v>
      </c>
      <c r="M12" s="26">
        <v>0.704</v>
      </c>
      <c r="N12" s="26">
        <v>0.03</v>
      </c>
      <c r="O12" s="26">
        <v>0.16</v>
      </c>
      <c r="P12" s="26">
        <v>3.266</v>
      </c>
      <c r="Q12" s="26">
        <v>4.443</v>
      </c>
      <c r="R12" s="26">
        <v>4.846</v>
      </c>
      <c r="S12" s="10"/>
    </row>
    <row r="13" spans="1:19" ht="11.25">
      <c r="A13" s="11">
        <v>1996</v>
      </c>
      <c r="B13" s="16">
        <v>31.177</v>
      </c>
      <c r="C13" s="17">
        <v>14.403</v>
      </c>
      <c r="D13" s="16">
        <v>0.342</v>
      </c>
      <c r="E13" s="16">
        <v>2.771</v>
      </c>
      <c r="F13" s="16">
        <v>1.959</v>
      </c>
      <c r="G13" s="16">
        <v>4.968</v>
      </c>
      <c r="H13" s="16">
        <v>1.1</v>
      </c>
      <c r="I13" s="16">
        <v>2.804</v>
      </c>
      <c r="J13" s="16">
        <v>0.638</v>
      </c>
      <c r="K13" s="16">
        <v>3.6</v>
      </c>
      <c r="L13" s="16">
        <v>0</v>
      </c>
      <c r="M13" s="16">
        <v>0.592</v>
      </c>
      <c r="N13" s="16">
        <v>0.03</v>
      </c>
      <c r="O13" s="16">
        <v>0.173</v>
      </c>
      <c r="P13" s="16">
        <v>3.165</v>
      </c>
      <c r="Q13" s="16">
        <v>4.391</v>
      </c>
      <c r="R13" s="16">
        <v>4.644</v>
      </c>
      <c r="S13" s="10"/>
    </row>
    <row r="14" spans="1:19" ht="11.25">
      <c r="A14" s="11">
        <v>1997</v>
      </c>
      <c r="B14" s="16">
        <v>32.074</v>
      </c>
      <c r="C14" s="17">
        <v>14.747</v>
      </c>
      <c r="D14" s="16">
        <v>0.32</v>
      </c>
      <c r="E14" s="16">
        <v>2.787</v>
      </c>
      <c r="F14" s="16">
        <v>1.991</v>
      </c>
      <c r="G14" s="16">
        <v>5.186</v>
      </c>
      <c r="H14" s="16">
        <v>1.16</v>
      </c>
      <c r="I14" s="16">
        <v>2.803</v>
      </c>
      <c r="J14" s="16">
        <v>0.622</v>
      </c>
      <c r="K14" s="16">
        <v>3.745</v>
      </c>
      <c r="L14" s="16">
        <v>0</v>
      </c>
      <c r="M14" s="16">
        <v>0.605</v>
      </c>
      <c r="N14" s="16">
        <v>0.03</v>
      </c>
      <c r="O14" s="16">
        <v>0.175</v>
      </c>
      <c r="P14" s="16">
        <v>3.296</v>
      </c>
      <c r="Q14" s="16">
        <v>4.65</v>
      </c>
      <c r="R14" s="16">
        <v>4.704</v>
      </c>
      <c r="S14" s="10"/>
    </row>
    <row r="15" spans="1:19" ht="11.25">
      <c r="A15" s="11">
        <v>1998</v>
      </c>
      <c r="B15" s="16">
        <v>32.211</v>
      </c>
      <c r="C15" s="17">
        <v>14.869</v>
      </c>
      <c r="D15" s="16">
        <v>0.291</v>
      </c>
      <c r="E15" s="16">
        <v>2.668</v>
      </c>
      <c r="F15" s="16">
        <v>1.864</v>
      </c>
      <c r="G15" s="16">
        <v>5.363</v>
      </c>
      <c r="H15" s="16">
        <v>1.246</v>
      </c>
      <c r="I15" s="16">
        <v>2.847</v>
      </c>
      <c r="J15" s="16">
        <v>0.7</v>
      </c>
      <c r="K15" s="16">
        <v>3.753</v>
      </c>
      <c r="L15" s="16">
        <v>0</v>
      </c>
      <c r="M15" s="16">
        <v>0.622</v>
      </c>
      <c r="N15" s="16">
        <v>0.03</v>
      </c>
      <c r="O15" s="16">
        <v>0.2</v>
      </c>
      <c r="P15" s="16">
        <v>3.316</v>
      </c>
      <c r="Q15" s="16">
        <v>4.729</v>
      </c>
      <c r="R15" s="16">
        <v>4.582</v>
      </c>
      <c r="S15" s="10"/>
    </row>
    <row r="16" spans="1:18" ht="11.25">
      <c r="A16" s="11">
        <v>1999</v>
      </c>
      <c r="B16" s="16" t="s">
        <v>4</v>
      </c>
      <c r="C16" s="17" t="s">
        <v>4</v>
      </c>
      <c r="D16" s="16" t="s">
        <v>4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4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4</v>
      </c>
      <c r="R16" s="16" t="s">
        <v>4</v>
      </c>
    </row>
    <row r="17" spans="1:18" ht="11.25">
      <c r="A17" s="11">
        <v>2000</v>
      </c>
      <c r="B17" s="16" t="s">
        <v>4</v>
      </c>
      <c r="C17" s="17" t="s">
        <v>4</v>
      </c>
      <c r="D17" s="16" t="s">
        <v>4</v>
      </c>
      <c r="E17" s="16" t="s">
        <v>4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4</v>
      </c>
      <c r="K17" s="16" t="s">
        <v>4</v>
      </c>
      <c r="L17" s="16" t="s">
        <v>4</v>
      </c>
      <c r="M17" s="16" t="s">
        <v>4</v>
      </c>
      <c r="N17" s="16" t="s">
        <v>4</v>
      </c>
      <c r="O17" s="16" t="s">
        <v>4</v>
      </c>
      <c r="P17" s="16" t="s">
        <v>4</v>
      </c>
      <c r="Q17" s="16" t="s">
        <v>4</v>
      </c>
      <c r="R17" s="16" t="s">
        <v>4</v>
      </c>
    </row>
    <row r="18" spans="1:18" ht="11.25">
      <c r="A18" s="11">
        <v>2001</v>
      </c>
      <c r="B18" s="48" t="s">
        <v>4</v>
      </c>
      <c r="C18" s="48" t="s">
        <v>4</v>
      </c>
      <c r="D18" s="48" t="s">
        <v>4</v>
      </c>
      <c r="E18" s="48" t="s">
        <v>4</v>
      </c>
      <c r="F18" s="48" t="s">
        <v>4</v>
      </c>
      <c r="G18" s="48" t="s">
        <v>4</v>
      </c>
      <c r="H18" s="48" t="s">
        <v>4</v>
      </c>
      <c r="I18" s="48" t="s">
        <v>4</v>
      </c>
      <c r="J18" s="48" t="s">
        <v>4</v>
      </c>
      <c r="K18" s="48" t="s">
        <v>4</v>
      </c>
      <c r="L18" s="48" t="s">
        <v>4</v>
      </c>
      <c r="M18" s="48" t="s">
        <v>4</v>
      </c>
      <c r="N18" s="48" t="s">
        <v>4</v>
      </c>
      <c r="O18" s="48" t="s">
        <v>4</v>
      </c>
      <c r="P18" s="48" t="s">
        <v>4</v>
      </c>
      <c r="Q18" s="48" t="s">
        <v>4</v>
      </c>
      <c r="R18" s="48" t="s">
        <v>4</v>
      </c>
    </row>
    <row r="20" ht="11.25">
      <c r="A20" s="3" t="s">
        <v>118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A1">
      <selection activeCell="B6" sqref="B6:Q6"/>
    </sheetView>
  </sheetViews>
  <sheetFormatPr defaultColWidth="9.140625" defaultRowHeight="12.75"/>
  <cols>
    <col min="1" max="17" width="7.28125" style="109" customWidth="1"/>
    <col min="18" max="16384" width="9.140625" style="109" customWidth="1"/>
  </cols>
  <sheetData>
    <row r="1" spans="1:19" ht="11.25">
      <c r="A1" s="103" t="s">
        <v>165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2"/>
      <c r="S1" s="103" t="s">
        <v>165</v>
      </c>
    </row>
    <row r="2" spans="1:19" ht="11.25">
      <c r="A2" s="105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2"/>
      <c r="S2" s="105" t="s">
        <v>3</v>
      </c>
    </row>
    <row r="3" spans="1:35" ht="11.25">
      <c r="A3" s="120"/>
      <c r="B3" s="120" t="s">
        <v>5</v>
      </c>
      <c r="C3" s="120" t="s">
        <v>7</v>
      </c>
      <c r="D3" s="120" t="s">
        <v>8</v>
      </c>
      <c r="E3" s="120" t="s">
        <v>9</v>
      </c>
      <c r="F3" s="120" t="s">
        <v>10</v>
      </c>
      <c r="G3" s="120" t="s">
        <v>11</v>
      </c>
      <c r="H3" s="120" t="s">
        <v>12</v>
      </c>
      <c r="I3" s="120" t="s">
        <v>13</v>
      </c>
      <c r="J3" s="120" t="s">
        <v>14</v>
      </c>
      <c r="K3" s="120" t="s">
        <v>15</v>
      </c>
      <c r="L3" s="120" t="s">
        <v>16</v>
      </c>
      <c r="M3" s="120" t="s">
        <v>17</v>
      </c>
      <c r="N3" s="120" t="s">
        <v>18</v>
      </c>
      <c r="O3" s="120" t="s">
        <v>19</v>
      </c>
      <c r="P3" s="120" t="s">
        <v>20</v>
      </c>
      <c r="Q3" s="120" t="s">
        <v>21</v>
      </c>
      <c r="S3" s="106"/>
      <c r="T3" s="106" t="s">
        <v>5</v>
      </c>
      <c r="U3" s="106" t="s">
        <v>7</v>
      </c>
      <c r="V3" s="106" t="s">
        <v>8</v>
      </c>
      <c r="W3" s="106" t="s">
        <v>9</v>
      </c>
      <c r="X3" s="106" t="s">
        <v>10</v>
      </c>
      <c r="Y3" s="106" t="s">
        <v>11</v>
      </c>
      <c r="Z3" s="106" t="s">
        <v>12</v>
      </c>
      <c r="AA3" s="106" t="s">
        <v>13</v>
      </c>
      <c r="AB3" s="106" t="s">
        <v>14</v>
      </c>
      <c r="AC3" s="106" t="s">
        <v>15</v>
      </c>
      <c r="AD3" s="106" t="s">
        <v>16</v>
      </c>
      <c r="AE3" s="106" t="s">
        <v>17</v>
      </c>
      <c r="AF3" s="106" t="s">
        <v>18</v>
      </c>
      <c r="AG3" s="106" t="s">
        <v>19</v>
      </c>
      <c r="AH3" s="106" t="s">
        <v>20</v>
      </c>
      <c r="AI3" s="106" t="s">
        <v>21</v>
      </c>
    </row>
    <row r="4" spans="1:35" ht="11.25">
      <c r="A4" s="121">
        <v>1998</v>
      </c>
      <c r="B4" s="42">
        <f>+manip_pt_air_extra!B13+manip_pt_air_intra!B12+manip_pt_air_dom!B12</f>
        <v>473.410134</v>
      </c>
      <c r="C4" s="42">
        <f>+manip_pt_air_extra!C13+manip_pt_air_intra!C12+manip_pt_air_dom!C12</f>
        <v>15.338481000000002</v>
      </c>
      <c r="D4" s="42">
        <f>+manip_pt_air_extra!D13+manip_pt_air_intra!D12+manip_pt_air_dom!D12</f>
        <v>5.948912285714285</v>
      </c>
      <c r="E4" s="42">
        <f>+manip_pt_air_extra!E13+manip_pt_air_intra!E12+manip_pt_air_dom!E12</f>
        <v>75.43785600000001</v>
      </c>
      <c r="F4" s="42">
        <f>+manip_pt_air_extra!F13+manip_pt_air_intra!F12+manip_pt_air_dom!F12</f>
        <v>8.561155</v>
      </c>
      <c r="G4" s="42">
        <f>+manip_pt_air_extra!G13+manip_pt_air_intra!G12+manip_pt_air_dom!G12</f>
        <v>32.520695</v>
      </c>
      <c r="H4" s="42">
        <f>+manip_pt_air_extra!H13+manip_pt_air_intra!H12+manip_pt_air_dom!H12</f>
        <v>74.546499</v>
      </c>
      <c r="I4" s="42">
        <f>+manip_pt_air_extra!I13+manip_pt_air_intra!I12+manip_pt_air_dom!I12</f>
        <v>6.4663829999999995</v>
      </c>
      <c r="J4" s="42">
        <f>+manip_pt_air_extra!J13+manip_pt_air_intra!J12+manip_pt_air_dom!J12</f>
        <v>35.560996</v>
      </c>
      <c r="K4" s="42">
        <f>+manip_pt_air_extra!K13+manip_pt_air_intra!K12+manip_pt_air_dom!K12</f>
        <v>0.453941</v>
      </c>
      <c r="L4" s="42">
        <f>+manip_pt_air_extra!L13+manip_pt_air_intra!L12+manip_pt_air_dom!L12</f>
        <v>57.278828000000004</v>
      </c>
      <c r="M4" s="42">
        <f>+manip_pt_air_extra!M13+manip_pt_air_intra!M12+manip_pt_air_dom!M12</f>
        <v>7.283537000000002</v>
      </c>
      <c r="N4" s="42">
        <f>+manip_pt_air_extra!N13+manip_pt_air_intra!N12+manip_pt_air_dom!N12</f>
        <v>9.355944999999998</v>
      </c>
      <c r="O4" s="42">
        <f>+manip_pt_air_extra!O13+manip_pt_air_intra!O12+manip_pt_air_dom!O12</f>
        <v>10.713681000000001</v>
      </c>
      <c r="P4" s="42">
        <f>+manip_pt_air_extra!P13+manip_pt_air_intra!P12+manip_pt_air_dom!P12</f>
        <v>14.872280714285715</v>
      </c>
      <c r="Q4" s="42">
        <f>+manip_pt_air_extra!Q13+manip_pt_air_intra!Q12+manip_pt_air_dom!Q12</f>
        <v>119.070944</v>
      </c>
      <c r="S4" s="107">
        <v>1990</v>
      </c>
      <c r="T4" s="42" t="e">
        <f>+manip_pt_air_extra!B5+manip_pt_air_intra!#REF!+manip_pt_air_dom!#REF!</f>
        <v>#REF!</v>
      </c>
      <c r="U4" s="42" t="e">
        <f>+manip_pt_air_extra!C5+manip_pt_air_intra!#REF!+manip_pt_air_dom!#REF!</f>
        <v>#REF!</v>
      </c>
      <c r="V4" s="42" t="e">
        <f>+manip_pt_air_extra!D5+manip_pt_air_intra!#REF!+manip_pt_air_dom!#REF!</f>
        <v>#REF!</v>
      </c>
      <c r="W4" s="42" t="e">
        <f>+manip_pt_air_extra!E5+manip_pt_air_intra!#REF!+manip_pt_air_dom!#REF!</f>
        <v>#REF!</v>
      </c>
      <c r="X4" s="42" t="e">
        <f>+manip_pt_air_extra!F5+manip_pt_air_intra!#REF!+manip_pt_air_dom!#REF!</f>
        <v>#REF!</v>
      </c>
      <c r="Y4" s="42" t="e">
        <f>+manip_pt_air_extra!G5+manip_pt_air_intra!#REF!+manip_pt_air_dom!#REF!</f>
        <v>#REF!</v>
      </c>
      <c r="Z4" s="42" t="e">
        <f>+manip_pt_air_extra!H5+manip_pt_air_intra!#REF!+manip_pt_air_dom!#REF!</f>
        <v>#REF!</v>
      </c>
      <c r="AA4" s="42" t="e">
        <f>+manip_pt_air_extra!I5+manip_pt_air_intra!#REF!+manip_pt_air_dom!#REF!</f>
        <v>#REF!</v>
      </c>
      <c r="AB4" s="42" t="e">
        <f>+manip_pt_air_extra!J5+manip_pt_air_intra!#REF!+manip_pt_air_dom!#REF!</f>
        <v>#REF!</v>
      </c>
      <c r="AC4" s="42" t="e">
        <f>+manip_pt_air_extra!K5+manip_pt_air_intra!#REF!+manip_pt_air_dom!#REF!</f>
        <v>#REF!</v>
      </c>
      <c r="AD4" s="42" t="e">
        <f>+manip_pt_air_extra!L5+manip_pt_air_intra!#REF!+manip_pt_air_dom!#REF!</f>
        <v>#REF!</v>
      </c>
      <c r="AE4" s="42" t="e">
        <f>+manip_pt_air_extra!M5+manip_pt_air_intra!#REF!+manip_pt_air_dom!#REF!</f>
        <v>#REF!</v>
      </c>
      <c r="AF4" s="42" t="e">
        <f>+manip_pt_air_extra!N5+manip_pt_air_intra!#REF!+manip_pt_air_dom!#REF!</f>
        <v>#REF!</v>
      </c>
      <c r="AG4" s="42" t="e">
        <f>+manip_pt_air_extra!O5+manip_pt_air_intra!#REF!+manip_pt_air_dom!#REF!</f>
        <v>#REF!</v>
      </c>
      <c r="AH4" s="42" t="e">
        <f>+manip_pt_air_extra!P5+manip_pt_air_intra!#REF!+manip_pt_air_dom!#REF!</f>
        <v>#REF!</v>
      </c>
      <c r="AI4" s="42" t="e">
        <f>+manip_pt_air_extra!Q5+manip_pt_air_intra!#REF!+manip_pt_air_dom!#REF!</f>
        <v>#REF!</v>
      </c>
    </row>
    <row r="5" spans="1:35" ht="11.25">
      <c r="A5" s="121">
        <v>1999</v>
      </c>
      <c r="B5" s="42">
        <f>+manip_pt_air_extra!B14+manip_pt_air_intra!B13+manip_pt_air_dom!B13</f>
        <v>506.022469</v>
      </c>
      <c r="C5" s="42">
        <f>+manip_pt_air_extra!C14+manip_pt_air_intra!C13+manip_pt_air_dom!C13</f>
        <v>17.692968</v>
      </c>
      <c r="D5" s="42">
        <f>+manip_pt_air_extra!D14+manip_pt_air_intra!D13+manip_pt_air_dom!D13</f>
        <v>6.0457154285714285</v>
      </c>
      <c r="E5" s="42">
        <f>+manip_pt_air_extra!E14+manip_pt_air_intra!E13+manip_pt_air_dom!E13</f>
        <v>86.15373299999999</v>
      </c>
      <c r="F5" s="42">
        <f>+manip_pt_air_extra!F14+manip_pt_air_intra!F13+manip_pt_air_dom!F13</f>
        <v>8.305451</v>
      </c>
      <c r="G5" s="42">
        <f>+manip_pt_air_extra!G14+manip_pt_air_intra!G13+manip_pt_air_dom!G13</f>
        <v>39.255966</v>
      </c>
      <c r="H5" s="42">
        <f>+manip_pt_air_extra!H14+manip_pt_air_intra!H13+manip_pt_air_dom!H13</f>
        <v>83.822531</v>
      </c>
      <c r="I5" s="42">
        <f>+manip_pt_air_extra!I14+manip_pt_air_intra!I13+manip_pt_air_dom!I13</f>
        <v>7.601888</v>
      </c>
      <c r="J5" s="42">
        <f>+manip_pt_air_extra!J14+manip_pt_air_intra!J13+manip_pt_air_dom!J13</f>
        <v>36.689997999999996</v>
      </c>
      <c r="K5" s="42">
        <f>+manip_pt_air_extra!K14+manip_pt_air_intra!K13+manip_pt_air_dom!K13</f>
        <v>0.7382329999999999</v>
      </c>
      <c r="L5" s="42">
        <f>+manip_pt_air_extra!L14+manip_pt_air_intra!L13+manip_pt_air_dom!L13</f>
        <v>58.11254699999999</v>
      </c>
      <c r="M5" s="42">
        <f>+manip_pt_air_extra!M14+manip_pt_air_intra!M13+manip_pt_air_dom!M13</f>
        <v>7.890834</v>
      </c>
      <c r="N5" s="42">
        <f>+manip_pt_air_extra!N14+manip_pt_air_intra!N13+manip_pt_air_dom!N13</f>
        <v>9.379761</v>
      </c>
      <c r="O5" s="42">
        <f>+manip_pt_air_extra!O14+manip_pt_air_intra!O13+manip_pt_air_dom!O13</f>
        <v>7.802479999999999</v>
      </c>
      <c r="P5" s="42">
        <f>+manip_pt_air_extra!P14+manip_pt_air_intra!P13+manip_pt_air_dom!P13</f>
        <v>15.11428857142857</v>
      </c>
      <c r="Q5" s="42">
        <f>+manip_pt_air_extra!Q14+manip_pt_air_intra!Q13+manip_pt_air_dom!Q13</f>
        <v>121.41607500000002</v>
      </c>
      <c r="S5" s="107">
        <v>1991</v>
      </c>
      <c r="T5" s="42">
        <f>+manip_pt_air_extra!B6+manip_pt_air_intra!B5+manip_pt_air_dom!B5</f>
        <v>257.25847999999996</v>
      </c>
      <c r="U5" s="42">
        <f>+manip_pt_air_extra!C6+manip_pt_air_intra!C5+manip_pt_air_dom!C5</f>
        <v>6.2230799999999995</v>
      </c>
      <c r="V5" s="42">
        <f>+manip_pt_air_extra!D6+manip_pt_air_intra!D5+manip_pt_air_dom!D5</f>
        <v>4.404680285714286</v>
      </c>
      <c r="W5" s="42">
        <f>+manip_pt_air_extra!E6+manip_pt_air_intra!E5+manip_pt_air_dom!E5</f>
        <v>42.684676</v>
      </c>
      <c r="X5" s="42">
        <f>+manip_pt_air_extra!F6+manip_pt_air_intra!F5+manip_pt_air_dom!F5</f>
        <v>6.19336</v>
      </c>
      <c r="Y5" s="42">
        <f>+manip_pt_air_extra!G6+manip_pt_air_intra!G5+manip_pt_air_dom!G5</f>
        <v>20.472786</v>
      </c>
      <c r="Z5" s="42">
        <f>+manip_pt_air_extra!H6+manip_pt_air_intra!H5+manip_pt_air_dom!H5</f>
        <v>39.479397</v>
      </c>
      <c r="AA5" s="42">
        <f>+manip_pt_air_extra!I6+manip_pt_air_intra!I5+manip_pt_air_dom!I5</f>
        <v>3.78619</v>
      </c>
      <c r="AB5" s="42">
        <f>+manip_pt_air_extra!J6+manip_pt_air_intra!J5+manip_pt_air_dom!J5</f>
        <v>18.187282999999997</v>
      </c>
      <c r="AC5" s="42">
        <f>+manip_pt_air_extra!K6+manip_pt_air_intra!K5+manip_pt_air_dom!K5</f>
        <v>0.258169</v>
      </c>
      <c r="AD5" s="42">
        <f>+manip_pt_air_extra!L6+manip_pt_air_intra!L5+manip_pt_air_dom!L5</f>
        <v>27.307015999999997</v>
      </c>
      <c r="AE5" s="42">
        <f>+manip_pt_air_extra!M6+manip_pt_air_intra!M5+manip_pt_air_dom!M5</f>
        <v>2.853059</v>
      </c>
      <c r="AF5" s="42">
        <f>+manip_pt_air_extra!N6+manip_pt_air_intra!N5+manip_pt_air_dom!N5</f>
        <v>7.024811</v>
      </c>
      <c r="AG5" s="42">
        <f>+manip_pt_air_extra!O6+manip_pt_air_intra!O5+manip_pt_air_dom!O5</f>
        <v>4.537439999999999</v>
      </c>
      <c r="AH5" s="42">
        <f>+manip_pt_air_extra!P6+manip_pt_air_intra!P5+manip_pt_air_dom!P5</f>
        <v>11.011700714285713</v>
      </c>
      <c r="AI5" s="42">
        <f>+manip_pt_air_extra!Q6+manip_pt_air_intra!Q5+manip_pt_air_dom!Q5</f>
        <v>62.834832000000006</v>
      </c>
    </row>
    <row r="6" spans="1:35" ht="11.25">
      <c r="A6" s="121">
        <v>2000</v>
      </c>
      <c r="B6" s="42">
        <f>+manip_pt_air_extra!B15+manip_pt_air_intra!B14+manip_pt_air_dom!B14</f>
        <v>542.088201</v>
      </c>
      <c r="C6" s="42">
        <f>+manip_pt_air_extra!C15+manip_pt_air_intra!C14+manip_pt_air_dom!C14</f>
        <v>19.378688999999998</v>
      </c>
      <c r="D6" s="42">
        <f>+manip_pt_air_extra!D15+manip_pt_air_intra!D14+manip_pt_air_dom!D14</f>
        <v>6.4706534285714294</v>
      </c>
      <c r="E6" s="42">
        <f>+manip_pt_air_extra!E15+manip_pt_air_intra!E14+manip_pt_air_dom!E14</f>
        <v>94.16955200000001</v>
      </c>
      <c r="F6" s="42">
        <f>+manip_pt_air_extra!F15+manip_pt_air_intra!F14+manip_pt_air_dom!F14</f>
        <v>8.859508</v>
      </c>
      <c r="G6" s="42">
        <f>+manip_pt_air_extra!G15+manip_pt_air_intra!G14+manip_pt_air_dom!G14</f>
        <v>45.463477</v>
      </c>
      <c r="H6" s="42">
        <f>+manip_pt_air_extra!H15+manip_pt_air_intra!H14+manip_pt_air_dom!H14</f>
        <v>91.80128999999998</v>
      </c>
      <c r="I6" s="42">
        <f>+manip_pt_air_extra!I15+manip_pt_air_intra!I14+manip_pt_air_dom!I14</f>
        <v>8.888677</v>
      </c>
      <c r="J6" s="42">
        <f>+manip_pt_air_extra!J15+manip_pt_air_intra!J14+manip_pt_air_dom!J14</f>
        <v>40.618182999999995</v>
      </c>
      <c r="K6" s="42">
        <f>+manip_pt_air_extra!K15+manip_pt_air_intra!K14+manip_pt_air_dom!K14</f>
        <v>0.557327</v>
      </c>
      <c r="L6" s="42">
        <f>+manip_pt_air_extra!L15+manip_pt_air_intra!L14+manip_pt_air_dom!L14</f>
        <v>60.326619</v>
      </c>
      <c r="M6" s="42">
        <f>+manip_pt_air_extra!M15+manip_pt_air_intra!M14+manip_pt_air_dom!M14</f>
        <v>8.798959</v>
      </c>
      <c r="N6" s="42">
        <f>+manip_pt_air_extra!N15+manip_pt_air_intra!N14+manip_pt_air_dom!N14</f>
        <v>10.385019</v>
      </c>
      <c r="O6" s="42">
        <f>+manip_pt_air_extra!O15+manip_pt_air_intra!O14+manip_pt_air_dom!O14</f>
        <v>7.467182</v>
      </c>
      <c r="P6" s="42">
        <f>+manip_pt_air_extra!P15+manip_pt_air_intra!P14+manip_pt_air_dom!P14</f>
        <v>16.17663357142857</v>
      </c>
      <c r="Q6" s="42">
        <f>+manip_pt_air_extra!Q15+manip_pt_air_intra!Q14+manip_pt_air_dom!Q14</f>
        <v>122.726432</v>
      </c>
      <c r="S6" s="107">
        <v>1992</v>
      </c>
      <c r="T6" s="42">
        <f>+manip_pt_air_extra!B7+manip_pt_air_intra!B6+manip_pt_air_dom!B6</f>
        <v>294.3221679999999</v>
      </c>
      <c r="U6" s="42">
        <f>+manip_pt_air_extra!C7+manip_pt_air_intra!C6+manip_pt_air_dom!C6</f>
        <v>6.202586</v>
      </c>
      <c r="V6" s="42">
        <f>+manip_pt_air_extra!D7+manip_pt_air_intra!D6+manip_pt_air_dom!D6</f>
        <v>4.4852925714285705</v>
      </c>
      <c r="W6" s="42">
        <f>+manip_pt_air_extra!E7+manip_pt_air_intra!E6+manip_pt_air_dom!E6</f>
        <v>48.66051999999999</v>
      </c>
      <c r="X6" s="42">
        <f>+manip_pt_air_extra!F7+manip_pt_air_intra!F6+manip_pt_air_dom!F6</f>
        <v>7.262379</v>
      </c>
      <c r="Y6" s="42">
        <f>+manip_pt_air_extra!G7+manip_pt_air_intra!G6+manip_pt_air_dom!G6</f>
        <v>23.85728</v>
      </c>
      <c r="Z6" s="42">
        <f>+manip_pt_air_extra!H7+manip_pt_air_intra!H6+manip_pt_air_dom!H6</f>
        <v>42.996627000000004</v>
      </c>
      <c r="AA6" s="42">
        <f>+manip_pt_air_extra!I7+manip_pt_air_intra!I6+manip_pt_air_dom!I6</f>
        <v>4.010679</v>
      </c>
      <c r="AB6" s="42">
        <f>+manip_pt_air_extra!J7+manip_pt_air_intra!J6+manip_pt_air_dom!J6</f>
        <v>23.586029</v>
      </c>
      <c r="AC6" s="42">
        <f>+manip_pt_air_extra!K7+manip_pt_air_intra!K6+manip_pt_air_dom!K6</f>
        <v>0.286118</v>
      </c>
      <c r="AD6" s="42">
        <f>+manip_pt_air_extra!L7+manip_pt_air_intra!L6+manip_pt_air_dom!L6</f>
        <v>31.695354</v>
      </c>
      <c r="AE6" s="42">
        <f>+manip_pt_air_extra!M7+manip_pt_air_intra!M6+manip_pt_air_dom!M6</f>
        <v>3.6502929999999996</v>
      </c>
      <c r="AF6" s="42">
        <f>+manip_pt_air_extra!N7+manip_pt_air_intra!N6+manip_pt_air_dom!N6</f>
        <v>7.671362</v>
      </c>
      <c r="AG6" s="42">
        <f>+manip_pt_air_extra!O7+manip_pt_air_intra!O6+manip_pt_air_dom!O6</f>
        <v>4.4462589999999995</v>
      </c>
      <c r="AH6" s="42">
        <f>+manip_pt_air_extra!P7+manip_pt_air_intra!P6+manip_pt_air_dom!P6</f>
        <v>11.21323142857143</v>
      </c>
      <c r="AI6" s="42">
        <f>+manip_pt_air_extra!Q7+manip_pt_air_intra!Q6+manip_pt_air_dom!Q6</f>
        <v>74.298158</v>
      </c>
    </row>
    <row r="7" spans="1:35" ht="11.25">
      <c r="A7" s="121">
        <v>2001</v>
      </c>
      <c r="B7" s="42" t="e">
        <f>+manip_pt_air_extra!B16+manip_pt_air_intra!B15+manip_pt_air_dom!B15</f>
        <v>#N/A</v>
      </c>
      <c r="C7" s="42" t="e">
        <f>+manip_pt_air_extra!C16+manip_pt_air_intra!C15+manip_pt_air_dom!C15</f>
        <v>#N/A</v>
      </c>
      <c r="D7" s="42" t="e">
        <f>+manip_pt_air_extra!D16+manip_pt_air_intra!D15+manip_pt_air_dom!D15</f>
        <v>#N/A</v>
      </c>
      <c r="E7" s="42" t="e">
        <f>+manip_pt_air_extra!E16+manip_pt_air_intra!E15+manip_pt_air_dom!E15</f>
        <v>#N/A</v>
      </c>
      <c r="F7" s="42" t="e">
        <f>+manip_pt_air_extra!F16+manip_pt_air_intra!F15+manip_pt_air_dom!F15</f>
        <v>#N/A</v>
      </c>
      <c r="G7" s="42" t="e">
        <f>+manip_pt_air_extra!G16+manip_pt_air_intra!G15+manip_pt_air_dom!G15</f>
        <v>#N/A</v>
      </c>
      <c r="H7" s="42" t="e">
        <f>+manip_pt_air_extra!H16+manip_pt_air_intra!H15+manip_pt_air_dom!H15</f>
        <v>#N/A</v>
      </c>
      <c r="I7" s="42" t="e">
        <f>+manip_pt_air_extra!I16+manip_pt_air_intra!I15+manip_pt_air_dom!I15</f>
        <v>#N/A</v>
      </c>
      <c r="J7" s="42" t="e">
        <f>+manip_pt_air_extra!J16+manip_pt_air_intra!J15+manip_pt_air_dom!J15</f>
        <v>#N/A</v>
      </c>
      <c r="K7" s="42" t="e">
        <f>+manip_pt_air_extra!K16+manip_pt_air_intra!K15+manip_pt_air_dom!K15</f>
        <v>#N/A</v>
      </c>
      <c r="L7" s="42" t="e">
        <f>+manip_pt_air_extra!L16+manip_pt_air_intra!L15+manip_pt_air_dom!L15</f>
        <v>#N/A</v>
      </c>
      <c r="M7" s="42" t="e">
        <f>+manip_pt_air_extra!M16+manip_pt_air_intra!M15+manip_pt_air_dom!M15</f>
        <v>#N/A</v>
      </c>
      <c r="N7" s="42" t="e">
        <f>+manip_pt_air_extra!N16+manip_pt_air_intra!N15+manip_pt_air_dom!N15</f>
        <v>#N/A</v>
      </c>
      <c r="O7" s="42" t="e">
        <f>+manip_pt_air_extra!O16+manip_pt_air_intra!O15+manip_pt_air_dom!O15</f>
        <v>#N/A</v>
      </c>
      <c r="P7" s="42" t="e">
        <f>+manip_pt_air_extra!P16+manip_pt_air_intra!P15+manip_pt_air_dom!P15</f>
        <v>#N/A</v>
      </c>
      <c r="Q7" s="42" t="e">
        <f>+manip_pt_air_extra!Q16+manip_pt_air_intra!Q15+manip_pt_air_dom!Q15</f>
        <v>#N/A</v>
      </c>
      <c r="S7" s="107">
        <v>1993</v>
      </c>
      <c r="T7" s="42">
        <f>+manip_pt_air_extra!B8+manip_pt_air_intra!B7+manip_pt_air_dom!B7</f>
        <v>316.316721</v>
      </c>
      <c r="U7" s="42">
        <f>+manip_pt_air_extra!C8+manip_pt_air_intra!C7+manip_pt_air_dom!C7</f>
        <v>6.485296999999999</v>
      </c>
      <c r="V7" s="42">
        <f>+manip_pt_air_extra!D8+manip_pt_air_intra!D7+manip_pt_air_dom!D7</f>
        <v>5.182441142857144</v>
      </c>
      <c r="W7" s="42">
        <f>+manip_pt_air_extra!E8+manip_pt_air_intra!E7+manip_pt_air_dom!E7</f>
        <v>52.65786</v>
      </c>
      <c r="X7" s="42">
        <f>+manip_pt_air_extra!F8+manip_pt_air_intra!F7+manip_pt_air_dom!F7</f>
        <v>7.898715</v>
      </c>
      <c r="Y7" s="42">
        <f>+manip_pt_air_extra!G8+manip_pt_air_intra!G7+manip_pt_air_dom!G7</f>
        <v>23.265412999999995</v>
      </c>
      <c r="Z7" s="42">
        <f>+manip_pt_air_extra!H8+manip_pt_air_intra!H7+manip_pt_air_dom!H7</f>
        <v>43.53460700000001</v>
      </c>
      <c r="AA7" s="42">
        <f>+manip_pt_air_extra!I8+manip_pt_air_intra!I7+manip_pt_air_dom!I7</f>
        <v>3.759247</v>
      </c>
      <c r="AB7" s="42">
        <f>+manip_pt_air_extra!J8+manip_pt_air_intra!J7+manip_pt_air_dom!J7</f>
        <v>24.520364</v>
      </c>
      <c r="AC7" s="42">
        <f>+manip_pt_air_extra!K8+manip_pt_air_intra!K7+manip_pt_air_dom!K7</f>
        <v>0.290451</v>
      </c>
      <c r="AD7" s="42">
        <f>+manip_pt_air_extra!L8+manip_pt_air_intra!L7+manip_pt_air_dom!L7</f>
        <v>36.806634</v>
      </c>
      <c r="AE7" s="42">
        <f>+manip_pt_air_extra!M8+manip_pt_air_intra!M7+manip_pt_air_dom!M7</f>
        <v>3.7469149999999996</v>
      </c>
      <c r="AF7" s="42">
        <f>+manip_pt_air_extra!N8+manip_pt_air_intra!N7+manip_pt_air_dom!N7</f>
        <v>7.868060999999999</v>
      </c>
      <c r="AG7" s="42">
        <f>+manip_pt_air_extra!O8+manip_pt_air_intra!O7+manip_pt_air_dom!O7</f>
        <v>5.316561</v>
      </c>
      <c r="AH7" s="42">
        <f>+manip_pt_air_extra!P8+manip_pt_air_intra!P7+manip_pt_air_dom!P7</f>
        <v>12.956102857142858</v>
      </c>
      <c r="AI7" s="42">
        <f>+manip_pt_air_extra!Q8+manip_pt_air_intra!Q7+manip_pt_air_dom!Q7</f>
        <v>82.028052</v>
      </c>
    </row>
    <row r="8" spans="1:35" ht="11.25">
      <c r="A8" s="107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S8" s="107">
        <v>1994</v>
      </c>
      <c r="T8" s="42">
        <f>+manip_pt_air_extra!B9+manip_pt_air_intra!B8+manip_pt_air_dom!B8</f>
        <v>342.3754820000001</v>
      </c>
      <c r="U8" s="42">
        <f>+manip_pt_air_extra!C9+manip_pt_air_intra!C8+manip_pt_air_dom!C8</f>
        <v>7.496970999999999</v>
      </c>
      <c r="V8" s="42">
        <f>+manip_pt_air_extra!D9+manip_pt_air_intra!D8+manip_pt_air_dom!D8</f>
        <v>5.275900857142856</v>
      </c>
      <c r="W8" s="42">
        <f>+manip_pt_air_extra!E9+manip_pt_air_intra!E8+manip_pt_air_dom!E8</f>
        <v>56.536241000000004</v>
      </c>
      <c r="X8" s="42">
        <f>+manip_pt_air_extra!F9+manip_pt_air_intra!F8+manip_pt_air_dom!F8</f>
        <v>8.428539</v>
      </c>
      <c r="Y8" s="42">
        <f>+manip_pt_air_extra!G9+manip_pt_air_intra!G8+manip_pt_air_dom!G8</f>
        <v>22.530577</v>
      </c>
      <c r="Z8" s="42">
        <f>+manip_pt_air_extra!H9+manip_pt_air_intra!H8+manip_pt_air_dom!H8</f>
        <v>50.119396</v>
      </c>
      <c r="AA8" s="42">
        <f>+manip_pt_air_extra!I9+manip_pt_air_intra!I8+manip_pt_air_dom!I8</f>
        <v>4.280545</v>
      </c>
      <c r="AB8" s="42">
        <f>+manip_pt_air_extra!J9+manip_pt_air_intra!J8+manip_pt_air_dom!J8</f>
        <v>26.962294999999997</v>
      </c>
      <c r="AC8" s="42">
        <f>+manip_pt_air_extra!K9+manip_pt_air_intra!K8+manip_pt_air_dom!K8</f>
        <v>0.36114999999999997</v>
      </c>
      <c r="AD8" s="42">
        <f>+manip_pt_air_extra!L9+manip_pt_air_intra!L8+manip_pt_air_dom!L8</f>
        <v>40.837607999999996</v>
      </c>
      <c r="AE8" s="42">
        <f>+manip_pt_air_extra!M9+manip_pt_air_intra!M8+manip_pt_air_dom!M8</f>
        <v>3.8330210000000005</v>
      </c>
      <c r="AF8" s="42">
        <f>+manip_pt_air_extra!N9+manip_pt_air_intra!N8+manip_pt_air_dom!N8</f>
        <v>7.585726999999999</v>
      </c>
      <c r="AG8" s="42">
        <f>+manip_pt_air_extra!O9+manip_pt_air_intra!O8+manip_pt_air_dom!O8</f>
        <v>6.490152</v>
      </c>
      <c r="AH8" s="42">
        <f>+manip_pt_air_extra!P9+manip_pt_air_intra!P8+manip_pt_air_dom!P8</f>
        <v>13.189752142857143</v>
      </c>
      <c r="AI8" s="42">
        <f>+manip_pt_air_extra!Q9+manip_pt_air_intra!Q8+manip_pt_air_dom!Q8</f>
        <v>88.447607</v>
      </c>
    </row>
    <row r="9" spans="1:35" ht="11.25">
      <c r="A9" s="103" t="s">
        <v>136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2"/>
      <c r="S9" s="107">
        <v>1995</v>
      </c>
      <c r="T9" s="42">
        <f>+manip_pt_air_extra!B10+manip_pt_air_intra!B9+manip_pt_air_dom!B9</f>
        <v>368.756721</v>
      </c>
      <c r="U9" s="42">
        <f>+manip_pt_air_extra!C10+manip_pt_air_intra!C9+manip_pt_air_dom!C9</f>
        <v>8.619822</v>
      </c>
      <c r="V9" s="42">
        <f>+manip_pt_air_extra!D10+manip_pt_air_intra!D9+manip_pt_air_dom!D9</f>
        <v>5.287437428571428</v>
      </c>
      <c r="W9" s="42">
        <f>+manip_pt_air_extra!E10+manip_pt_air_intra!E9+manip_pt_air_dom!E9</f>
        <v>61.60217500000001</v>
      </c>
      <c r="X9" s="42">
        <f>+manip_pt_air_extra!F10+manip_pt_air_intra!F9+manip_pt_air_dom!F9</f>
        <v>7.945009000000001</v>
      </c>
      <c r="Y9" s="42">
        <f>+manip_pt_air_extra!G10+manip_pt_air_intra!G9+manip_pt_air_dom!G9</f>
        <v>23.811489</v>
      </c>
      <c r="Z9" s="42">
        <f>+manip_pt_air_extra!H10+manip_pt_air_intra!H9+manip_pt_air_dom!H9</f>
        <v>49.515381000000005</v>
      </c>
      <c r="AA9" s="42">
        <f>+manip_pt_air_extra!I10+manip_pt_air_intra!I9+manip_pt_air_dom!I9</f>
        <v>4.6607899999999995</v>
      </c>
      <c r="AB9" s="42">
        <f>+manip_pt_air_extra!J10+manip_pt_air_intra!J9+manip_pt_air_dom!J9</f>
        <v>31.952753</v>
      </c>
      <c r="AC9" s="42">
        <f>+manip_pt_air_extra!K10+manip_pt_air_intra!K9+manip_pt_air_dom!K9</f>
        <v>0.380074</v>
      </c>
      <c r="AD9" s="42">
        <f>+manip_pt_air_extra!L10+manip_pt_air_intra!L9+manip_pt_air_dom!L9</f>
        <v>44.457608</v>
      </c>
      <c r="AE9" s="42">
        <f>+manip_pt_air_extra!M10+manip_pt_air_intra!M9+manip_pt_air_dom!M9</f>
        <v>4.913341000000001</v>
      </c>
      <c r="AF9" s="42">
        <f>+manip_pt_air_extra!N10+manip_pt_air_intra!N9+manip_pt_air_dom!N9</f>
        <v>7.716008</v>
      </c>
      <c r="AG9" s="42">
        <f>+manip_pt_air_extra!O10+manip_pt_air_intra!O9+manip_pt_air_dom!O9</f>
        <v>8.34012</v>
      </c>
      <c r="AH9" s="42">
        <f>+manip_pt_air_extra!P10+manip_pt_air_intra!P9+manip_pt_air_dom!P9</f>
        <v>13.21859357142857</v>
      </c>
      <c r="AI9" s="42">
        <f>+manip_pt_air_extra!Q10+manip_pt_air_intra!Q9+manip_pt_air_dom!Q9</f>
        <v>96.33612000000001</v>
      </c>
    </row>
    <row r="10" spans="1:35" ht="11.25">
      <c r="A10" s="105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2"/>
      <c r="S10" s="107">
        <v>1996</v>
      </c>
      <c r="T10" s="42">
        <f>+manip_pt_air_extra!B11+manip_pt_air_intra!B10+manip_pt_air_dom!B10</f>
        <v>397.90871000000004</v>
      </c>
      <c r="U10" s="42">
        <f>+manip_pt_air_extra!C11+manip_pt_air_intra!C10+manip_pt_air_dom!C10</f>
        <v>9.011305</v>
      </c>
      <c r="V10" s="42">
        <f>+manip_pt_air_extra!D11+manip_pt_air_intra!D10+manip_pt_air_dom!D10</f>
        <v>5.567744</v>
      </c>
      <c r="W10" s="42">
        <f>+manip_pt_air_extra!E11+manip_pt_air_intra!E10+manip_pt_air_dom!E10</f>
        <v>63.260200999999995</v>
      </c>
      <c r="X10" s="42">
        <f>+manip_pt_air_extra!F11+manip_pt_air_intra!F10+manip_pt_air_dom!F10</f>
        <v>8.533168</v>
      </c>
      <c r="Y10" s="42">
        <f>+manip_pt_air_extra!G11+manip_pt_air_intra!G10+manip_pt_air_dom!G10</f>
        <v>25.920046</v>
      </c>
      <c r="Z10" s="42">
        <f>+manip_pt_air_extra!H11+manip_pt_air_intra!H10+manip_pt_air_dom!H10</f>
        <v>57.472328999999995</v>
      </c>
      <c r="AA10" s="42">
        <f>+manip_pt_air_extra!I11+manip_pt_air_intra!I10+manip_pt_air_dom!I10</f>
        <v>5.126177</v>
      </c>
      <c r="AB10" s="42">
        <f>+manip_pt_air_extra!J11+manip_pt_air_intra!J10+manip_pt_air_dom!J10</f>
        <v>34.556182</v>
      </c>
      <c r="AC10" s="42">
        <f>+manip_pt_air_extra!K11+manip_pt_air_intra!K10+manip_pt_air_dom!K10</f>
        <v>0.420996</v>
      </c>
      <c r="AD10" s="42">
        <f>+manip_pt_air_extra!L11+manip_pt_air_intra!L10+manip_pt_air_dom!L10</f>
        <v>48.857143</v>
      </c>
      <c r="AE10" s="42">
        <f>+manip_pt_air_extra!M11+manip_pt_air_intra!M10+manip_pt_air_dom!M10</f>
        <v>5.438312999999999</v>
      </c>
      <c r="AF10" s="42">
        <f>+manip_pt_air_extra!N11+manip_pt_air_intra!N10+manip_pt_air_dom!N10</f>
        <v>7.977814</v>
      </c>
      <c r="AG10" s="42">
        <f>+manip_pt_air_extra!O11+manip_pt_air_intra!O10+manip_pt_air_dom!O10</f>
        <v>8.573236</v>
      </c>
      <c r="AH10" s="42">
        <f>+manip_pt_air_extra!P11+manip_pt_air_intra!P10+manip_pt_air_dom!P10</f>
        <v>13.919360000000001</v>
      </c>
      <c r="AI10" s="42">
        <f>+manip_pt_air_extra!Q11+manip_pt_air_intra!Q10+manip_pt_air_dom!Q10</f>
        <v>103.27469599999999</v>
      </c>
    </row>
    <row r="11" spans="1:35" ht="11.25">
      <c r="A11" s="120"/>
      <c r="B11" s="120" t="s">
        <v>5</v>
      </c>
      <c r="C11" s="120" t="s">
        <v>7</v>
      </c>
      <c r="D11" s="120" t="s">
        <v>8</v>
      </c>
      <c r="E11" s="120" t="s">
        <v>9</v>
      </c>
      <c r="F11" s="120" t="s">
        <v>10</v>
      </c>
      <c r="G11" s="120" t="s">
        <v>11</v>
      </c>
      <c r="H11" s="120" t="s">
        <v>12</v>
      </c>
      <c r="I11" s="120" t="s">
        <v>13</v>
      </c>
      <c r="J11" s="120" t="s">
        <v>14</v>
      </c>
      <c r="K11" s="120" t="s">
        <v>15</v>
      </c>
      <c r="L11" s="120" t="s">
        <v>16</v>
      </c>
      <c r="M11" s="120" t="s">
        <v>17</v>
      </c>
      <c r="N11" s="120" t="s">
        <v>18</v>
      </c>
      <c r="O11" s="120" t="s">
        <v>19</v>
      </c>
      <c r="P11" s="120" t="s">
        <v>20</v>
      </c>
      <c r="Q11" s="120" t="s">
        <v>21</v>
      </c>
      <c r="S11" s="107">
        <v>1997</v>
      </c>
      <c r="T11" s="42">
        <f>+manip_pt_air_extra!B12+manip_pt_air_intra!B11+manip_pt_air_dom!B11</f>
        <v>440.8676070000001</v>
      </c>
      <c r="U11" s="42">
        <f>+manip_pt_air_extra!C12+manip_pt_air_intra!C11+manip_pt_air_dom!C11</f>
        <v>11.273577</v>
      </c>
      <c r="V11" s="42">
        <f>+manip_pt_air_extra!D12+manip_pt_air_intra!D11+manip_pt_air_dom!D11</f>
        <v>5.8087417142857145</v>
      </c>
      <c r="W11" s="42">
        <f>+manip_pt_air_extra!E12+manip_pt_air_intra!E11+manip_pt_air_dom!E11</f>
        <v>71.353013</v>
      </c>
      <c r="X11" s="42">
        <f>+manip_pt_air_extra!F12+manip_pt_air_intra!F11+manip_pt_air_dom!F11</f>
        <v>9.260648</v>
      </c>
      <c r="Y11" s="42">
        <f>+manip_pt_air_extra!G12+manip_pt_air_intra!G11+manip_pt_air_dom!G11</f>
        <v>27.633889999999997</v>
      </c>
      <c r="Z11" s="42">
        <f>+manip_pt_air_extra!H12+manip_pt_air_intra!H11+manip_pt_air_dom!H11</f>
        <v>69.98855400000001</v>
      </c>
      <c r="AA11" s="42">
        <f>+manip_pt_air_extra!I12+manip_pt_air_intra!I11+manip_pt_air_dom!I11</f>
        <v>5.8924639999999995</v>
      </c>
      <c r="AB11" s="42">
        <f>+manip_pt_air_extra!J12+manip_pt_air_intra!J11+manip_pt_air_dom!J11</f>
        <v>35.992322</v>
      </c>
      <c r="AC11" s="42">
        <f>+manip_pt_air_extra!K12+manip_pt_air_intra!K11+manip_pt_air_dom!K11</f>
        <v>0.446551</v>
      </c>
      <c r="AD11" s="42">
        <f>+manip_pt_air_extra!L12+manip_pt_air_intra!L11+manip_pt_air_dom!L11</f>
        <v>55.387799</v>
      </c>
      <c r="AE11" s="42">
        <f>+manip_pt_air_extra!M12+manip_pt_air_intra!M11+manip_pt_air_dom!M11</f>
        <v>6.229601</v>
      </c>
      <c r="AF11" s="42">
        <f>+manip_pt_air_extra!N12+manip_pt_air_intra!N11+manip_pt_air_dom!N11</f>
        <v>8.772596</v>
      </c>
      <c r="AG11" s="42">
        <f>+manip_pt_air_extra!O12+manip_pt_air_intra!O11+manip_pt_air_dom!O11</f>
        <v>9.628776</v>
      </c>
      <c r="AH11" s="42">
        <f>+manip_pt_air_extra!P12+manip_pt_air_intra!P11+manip_pt_air_dom!P11</f>
        <v>14.521854285714285</v>
      </c>
      <c r="AI11" s="42">
        <f>+manip_pt_air_extra!Q12+manip_pt_air_intra!Q11+manip_pt_air_dom!Q11</f>
        <v>108.67721999999999</v>
      </c>
    </row>
    <row r="12" spans="1:35" ht="11.25">
      <c r="A12" s="121">
        <v>1998</v>
      </c>
      <c r="B12" s="42">
        <f>+manip_pt_air_dom!B12</f>
        <v>42.672391000000005</v>
      </c>
      <c r="C12" s="42">
        <f>+manip_pt_air_dom!C12</f>
        <v>0</v>
      </c>
      <c r="D12" s="42">
        <f>+manip_pt_air_dom!D12</f>
        <v>1.247356857142857</v>
      </c>
      <c r="E12" s="42">
        <f>+manip_pt_air_dom!E12</f>
        <v>5.230647</v>
      </c>
      <c r="F12" s="42">
        <f>+manip_pt_air_dom!F12</f>
        <v>1.105692</v>
      </c>
      <c r="G12" s="42">
        <f>+manip_pt_air_dom!G12</f>
        <v>8.614377000000001</v>
      </c>
      <c r="H12" s="42">
        <f>+manip_pt_air_dom!H12</f>
        <v>8.642653000000001</v>
      </c>
      <c r="I12" s="42">
        <f>+manip_pt_air_dom!I12</f>
        <v>0.068304</v>
      </c>
      <c r="J12" s="42">
        <f>+manip_pt_air_dom!J12</f>
        <v>7.094752000000001</v>
      </c>
      <c r="K12" s="42">
        <f>+manip_pt_air_dom!K12</f>
        <v>0</v>
      </c>
      <c r="L12" s="42">
        <f>+manip_pt_air_dom!L12</f>
        <v>0</v>
      </c>
      <c r="M12" s="42">
        <f>+manip_pt_air_dom!M12</f>
        <v>0.001589</v>
      </c>
      <c r="N12" s="42">
        <f>+manip_pt_air_dom!N12</f>
        <v>1.381534</v>
      </c>
      <c r="O12" s="42">
        <f>+manip_pt_air_dom!O12</f>
        <v>1.2464680000000001</v>
      </c>
      <c r="P12" s="42">
        <f>+manip_pt_air_dom!P12</f>
        <v>3.118392142857143</v>
      </c>
      <c r="Q12" s="42">
        <f>+manip_pt_air_dom!Q12</f>
        <v>4.920626</v>
      </c>
      <c r="S12" s="107">
        <v>1998</v>
      </c>
      <c r="T12" s="42">
        <f>+manip_pt_air_extra!B13+manip_pt_air_intra!B12+manip_pt_air_dom!B12</f>
        <v>473.410134</v>
      </c>
      <c r="U12" s="42">
        <f>+manip_pt_air_extra!C13+manip_pt_air_intra!C12+manip_pt_air_dom!C12</f>
        <v>15.338481000000002</v>
      </c>
      <c r="V12" s="42">
        <f>+manip_pt_air_extra!D13+manip_pt_air_intra!D12+manip_pt_air_dom!D12</f>
        <v>5.948912285714285</v>
      </c>
      <c r="W12" s="42">
        <f>+manip_pt_air_extra!E13+manip_pt_air_intra!E12+manip_pt_air_dom!E12</f>
        <v>75.43785600000001</v>
      </c>
      <c r="X12" s="42">
        <f>+manip_pt_air_extra!F13+manip_pt_air_intra!F12+manip_pt_air_dom!F12</f>
        <v>8.561155</v>
      </c>
      <c r="Y12" s="42">
        <f>+manip_pt_air_extra!G13+manip_pt_air_intra!G12+manip_pt_air_dom!G12</f>
        <v>32.520695</v>
      </c>
      <c r="Z12" s="42">
        <f>+manip_pt_air_extra!H13+manip_pt_air_intra!H12+manip_pt_air_dom!H12</f>
        <v>74.546499</v>
      </c>
      <c r="AA12" s="42">
        <f>+manip_pt_air_extra!I13+manip_pt_air_intra!I12+manip_pt_air_dom!I12</f>
        <v>6.4663829999999995</v>
      </c>
      <c r="AB12" s="42">
        <f>+manip_pt_air_extra!J13+manip_pt_air_intra!J12+manip_pt_air_dom!J12</f>
        <v>35.560996</v>
      </c>
      <c r="AC12" s="42">
        <f>+manip_pt_air_extra!K13+manip_pt_air_intra!K12+manip_pt_air_dom!K12</f>
        <v>0.453941</v>
      </c>
      <c r="AD12" s="42">
        <f>+manip_pt_air_extra!L13+manip_pt_air_intra!L12+manip_pt_air_dom!L12</f>
        <v>57.278828000000004</v>
      </c>
      <c r="AE12" s="42">
        <f>+manip_pt_air_extra!M13+manip_pt_air_intra!M12+manip_pt_air_dom!M12</f>
        <v>7.283537000000002</v>
      </c>
      <c r="AF12" s="42">
        <f>+manip_pt_air_extra!N13+manip_pt_air_intra!N12+manip_pt_air_dom!N12</f>
        <v>9.355944999999998</v>
      </c>
      <c r="AG12" s="42">
        <f>+manip_pt_air_extra!O13+manip_pt_air_intra!O12+manip_pt_air_dom!O12</f>
        <v>10.713681000000001</v>
      </c>
      <c r="AH12" s="42">
        <f>+manip_pt_air_extra!P13+manip_pt_air_intra!P12+manip_pt_air_dom!P12</f>
        <v>14.872280714285715</v>
      </c>
      <c r="AI12" s="42">
        <f>+manip_pt_air_extra!Q13+manip_pt_air_intra!Q12+manip_pt_air_dom!Q12</f>
        <v>119.070944</v>
      </c>
    </row>
    <row r="13" spans="1:35" ht="11.25">
      <c r="A13" s="121">
        <v>1999</v>
      </c>
      <c r="B13" s="42">
        <f>+manip_pt_air_dom!B13</f>
        <v>46.399015</v>
      </c>
      <c r="C13" s="42">
        <f>+manip_pt_air_dom!C13</f>
        <v>0</v>
      </c>
      <c r="D13" s="42">
        <f>+manip_pt_air_dom!D13</f>
        <v>1.3063788571428572</v>
      </c>
      <c r="E13" s="42">
        <f>+manip_pt_air_dom!E13</f>
        <v>5.649101</v>
      </c>
      <c r="F13" s="42">
        <f>+manip_pt_air_dom!F13</f>
        <v>1.072293</v>
      </c>
      <c r="G13" s="42">
        <f>+manip_pt_air_dom!G13</f>
        <v>11.463121</v>
      </c>
      <c r="H13" s="42">
        <f>+manip_pt_air_dom!H13</f>
        <v>9.223797000000001</v>
      </c>
      <c r="I13" s="42">
        <f>+manip_pt_air_dom!I13</f>
        <v>0.07295900000000001</v>
      </c>
      <c r="J13" s="42">
        <f>+manip_pt_air_dom!J13</f>
        <v>7.031973</v>
      </c>
      <c r="K13" s="42">
        <f>+manip_pt_air_dom!K13</f>
        <v>0</v>
      </c>
      <c r="L13" s="42">
        <f>+manip_pt_air_dom!L13</f>
        <v>0</v>
      </c>
      <c r="M13" s="42">
        <f>+manip_pt_air_dom!M13</f>
        <v>0.003251</v>
      </c>
      <c r="N13" s="42">
        <f>+manip_pt_air_dom!N13</f>
        <v>1.242308</v>
      </c>
      <c r="O13" s="42">
        <f>+manip_pt_air_dom!O13</f>
        <v>1.210016</v>
      </c>
      <c r="P13" s="42">
        <f>+manip_pt_air_dom!P13</f>
        <v>3.2659471428571427</v>
      </c>
      <c r="Q13" s="42">
        <f>+manip_pt_air_dom!Q13</f>
        <v>4.85787</v>
      </c>
      <c r="S13" s="107">
        <v>1999</v>
      </c>
      <c r="T13" s="42">
        <f>+manip_pt_air_extra!B14+manip_pt_air_intra!B13+manip_pt_air_dom!B13</f>
        <v>506.022469</v>
      </c>
      <c r="U13" s="42">
        <f>+manip_pt_air_extra!C14+manip_pt_air_intra!C13+manip_pt_air_dom!C13</f>
        <v>17.692968</v>
      </c>
      <c r="V13" s="42">
        <f>+manip_pt_air_extra!D14+manip_pt_air_intra!D13+manip_pt_air_dom!D13</f>
        <v>6.0457154285714285</v>
      </c>
      <c r="W13" s="42">
        <f>+manip_pt_air_extra!E14+manip_pt_air_intra!E13+manip_pt_air_dom!E13</f>
        <v>86.15373299999999</v>
      </c>
      <c r="X13" s="42">
        <f>+manip_pt_air_extra!F14+manip_pt_air_intra!F13+manip_pt_air_dom!F13</f>
        <v>8.305451</v>
      </c>
      <c r="Y13" s="42">
        <f>+manip_pt_air_extra!G14+manip_pt_air_intra!G13+manip_pt_air_dom!G13</f>
        <v>39.255966</v>
      </c>
      <c r="Z13" s="42">
        <f>+manip_pt_air_extra!H14+manip_pt_air_intra!H13+manip_pt_air_dom!H13</f>
        <v>83.822531</v>
      </c>
      <c r="AA13" s="42">
        <f>+manip_pt_air_extra!I14+manip_pt_air_intra!I13+manip_pt_air_dom!I13</f>
        <v>7.601888</v>
      </c>
      <c r="AB13" s="42">
        <f>+manip_pt_air_extra!J14+manip_pt_air_intra!J13+manip_pt_air_dom!J13</f>
        <v>36.689997999999996</v>
      </c>
      <c r="AC13" s="42">
        <f>+manip_pt_air_extra!K14+manip_pt_air_intra!K13+manip_pt_air_dom!K13</f>
        <v>0.7382329999999999</v>
      </c>
      <c r="AD13" s="42">
        <f>+manip_pt_air_extra!L14+manip_pt_air_intra!L13+manip_pt_air_dom!L13</f>
        <v>58.11254699999999</v>
      </c>
      <c r="AE13" s="42">
        <f>+manip_pt_air_extra!M14+manip_pt_air_intra!M13+manip_pt_air_dom!M13</f>
        <v>7.890834</v>
      </c>
      <c r="AF13" s="42">
        <f>+manip_pt_air_extra!N14+manip_pt_air_intra!N13+manip_pt_air_dom!N13</f>
        <v>9.379761</v>
      </c>
      <c r="AG13" s="42">
        <f>+manip_pt_air_extra!O14+manip_pt_air_intra!O13+manip_pt_air_dom!O13</f>
        <v>7.802479999999999</v>
      </c>
      <c r="AH13" s="42">
        <f>+manip_pt_air_extra!P14+manip_pt_air_intra!P13+manip_pt_air_dom!P13</f>
        <v>15.11428857142857</v>
      </c>
      <c r="AI13" s="42">
        <f>+manip_pt_air_extra!Q14+manip_pt_air_intra!Q13+manip_pt_air_dom!Q13</f>
        <v>121.41607500000002</v>
      </c>
    </row>
    <row r="14" spans="1:17" ht="11.25">
      <c r="A14" s="121">
        <v>2000</v>
      </c>
      <c r="B14" s="42">
        <f>+manip_pt_air_dom!B14</f>
        <v>49.223038</v>
      </c>
      <c r="C14" s="42">
        <f>+manip_pt_air_dom!C14</f>
        <v>0</v>
      </c>
      <c r="D14" s="42">
        <f>+manip_pt_air_dom!D14</f>
        <v>1.40599</v>
      </c>
      <c r="E14" s="42">
        <f>+manip_pt_air_dom!E14</f>
        <v>6.120349</v>
      </c>
      <c r="F14" s="42">
        <f>+manip_pt_air_dom!F14</f>
        <v>1.071609</v>
      </c>
      <c r="G14" s="42">
        <f>+manip_pt_air_dom!G14</f>
        <v>12.795675</v>
      </c>
      <c r="H14" s="42">
        <f>+manip_pt_air_dom!H14</f>
        <v>9.31949</v>
      </c>
      <c r="I14" s="42">
        <f>+manip_pt_air_dom!I14</f>
        <v>0.08069799999999999</v>
      </c>
      <c r="J14" s="42">
        <f>+manip_pt_air_dom!J14</f>
        <v>7.221109</v>
      </c>
      <c r="K14" s="42">
        <f>+manip_pt_air_dom!K14</f>
        <v>0</v>
      </c>
      <c r="L14" s="42">
        <f>+manip_pt_air_dom!L14</f>
        <v>0</v>
      </c>
      <c r="M14" s="42">
        <f>+manip_pt_air_dom!M14</f>
        <v>0</v>
      </c>
      <c r="N14" s="42">
        <f>+manip_pt_air_dom!N14</f>
        <v>1.219617</v>
      </c>
      <c r="O14" s="42">
        <f>+manip_pt_air_dom!O14</f>
        <v>1.278703</v>
      </c>
      <c r="P14" s="42">
        <f>+manip_pt_air_dom!P14</f>
        <v>3.5149749999999997</v>
      </c>
      <c r="Q14" s="42">
        <f>+manip_pt_air_dom!Q14</f>
        <v>5.194823</v>
      </c>
    </row>
    <row r="15" spans="1:20" ht="11.25">
      <c r="A15" s="121">
        <v>2001</v>
      </c>
      <c r="B15" s="42" t="e">
        <f>+manip_pt_air_dom!B15</f>
        <v>#N/A</v>
      </c>
      <c r="C15" s="42" t="e">
        <f>+manip_pt_air_dom!C15</f>
        <v>#N/A</v>
      </c>
      <c r="D15" s="42" t="e">
        <f>+manip_pt_air_dom!D15</f>
        <v>#N/A</v>
      </c>
      <c r="E15" s="42" t="e">
        <f>+manip_pt_air_dom!E15</f>
        <v>#N/A</v>
      </c>
      <c r="F15" s="42" t="e">
        <f>+manip_pt_air_dom!F15</f>
        <v>#N/A</v>
      </c>
      <c r="G15" s="42" t="e">
        <f>+manip_pt_air_dom!G15</f>
        <v>#N/A</v>
      </c>
      <c r="H15" s="42" t="e">
        <f>+manip_pt_air_dom!H15</f>
        <v>#N/A</v>
      </c>
      <c r="I15" s="42" t="e">
        <f>+manip_pt_air_dom!I15</f>
        <v>#N/A</v>
      </c>
      <c r="J15" s="42" t="e">
        <f>+manip_pt_air_dom!J15</f>
        <v>#N/A</v>
      </c>
      <c r="K15" s="42" t="e">
        <f>+manip_pt_air_dom!K15</f>
        <v>#N/A</v>
      </c>
      <c r="L15" s="42" t="e">
        <f>+manip_pt_air_dom!L15</f>
        <v>#N/A</v>
      </c>
      <c r="M15" s="42" t="e">
        <f>+manip_pt_air_dom!M15</f>
        <v>#N/A</v>
      </c>
      <c r="N15" s="42" t="e">
        <f>+manip_pt_air_dom!N15</f>
        <v>#N/A</v>
      </c>
      <c r="O15" s="42" t="e">
        <f>+manip_pt_air_dom!O15</f>
        <v>#N/A</v>
      </c>
      <c r="P15" s="42" t="e">
        <f>+manip_pt_air_dom!P15</f>
        <v>#N/A</v>
      </c>
      <c r="Q15" s="42" t="e">
        <f>+manip_pt_air_dom!Q15</f>
        <v>#N/A</v>
      </c>
      <c r="S15" s="109" t="s">
        <v>172</v>
      </c>
      <c r="T15" s="261">
        <f>+T13/T7-1</f>
        <v>0.5997335436465909</v>
      </c>
    </row>
    <row r="16" spans="1:17" ht="11.25">
      <c r="A16" s="262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</row>
    <row r="17" spans="1:17" ht="11.25">
      <c r="A17" s="103" t="s">
        <v>159</v>
      </c>
      <c r="B17" s="228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11.25">
      <c r="A18" s="105" t="s">
        <v>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2"/>
    </row>
    <row r="19" spans="1:17" ht="11.25">
      <c r="A19" s="105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2"/>
    </row>
    <row r="20" spans="1:17" ht="11.25">
      <c r="A20" s="120"/>
      <c r="B20" s="120" t="s">
        <v>5</v>
      </c>
      <c r="C20" s="120" t="s">
        <v>7</v>
      </c>
      <c r="D20" s="120" t="s">
        <v>8</v>
      </c>
      <c r="E20" s="120" t="s">
        <v>9</v>
      </c>
      <c r="F20" s="120" t="s">
        <v>10</v>
      </c>
      <c r="G20" s="120" t="s">
        <v>11</v>
      </c>
      <c r="H20" s="120" t="s">
        <v>12</v>
      </c>
      <c r="I20" s="120" t="s">
        <v>13</v>
      </c>
      <c r="J20" s="120" t="s">
        <v>14</v>
      </c>
      <c r="K20" s="120" t="s">
        <v>15</v>
      </c>
      <c r="L20" s="120" t="s">
        <v>16</v>
      </c>
      <c r="M20" s="120" t="s">
        <v>17</v>
      </c>
      <c r="N20" s="120" t="s">
        <v>18</v>
      </c>
      <c r="O20" s="120" t="s">
        <v>19</v>
      </c>
      <c r="P20" s="120" t="s">
        <v>20</v>
      </c>
      <c r="Q20" s="120" t="s">
        <v>21</v>
      </c>
    </row>
    <row r="21" spans="1:17" ht="11.25">
      <c r="A21" s="121">
        <v>1998</v>
      </c>
      <c r="B21" s="42">
        <f>+manip_pt_air_intra!B12</f>
        <v>97.01048800000001</v>
      </c>
      <c r="C21" s="42">
        <f>+manip_pt_air_intra!C12</f>
        <v>5.676299</v>
      </c>
      <c r="D21" s="42">
        <f>+manip_pt_air_intra!D12</f>
        <v>2.5068994285714283</v>
      </c>
      <c r="E21" s="42">
        <f>+manip_pt_air_intra!E12</f>
        <v>15.610935999999999</v>
      </c>
      <c r="F21" s="42">
        <f>+manip_pt_air_intra!F12</f>
        <v>3.268607</v>
      </c>
      <c r="G21" s="42">
        <f>+manip_pt_air_intra!G12</f>
        <v>7.523045</v>
      </c>
      <c r="H21" s="42">
        <f>+manip_pt_air_intra!H12</f>
        <v>8.033406</v>
      </c>
      <c r="I21" s="42">
        <f>+manip_pt_air_intra!I12</f>
        <v>2.413845</v>
      </c>
      <c r="J21" s="42">
        <f>+manip_pt_air_intra!J12</f>
        <v>7.447631</v>
      </c>
      <c r="K21" s="42">
        <f>+manip_pt_air_intra!K12</f>
        <v>0.453941</v>
      </c>
      <c r="L21" s="42">
        <f>+manip_pt_air_intra!L12</f>
        <v>6.984161</v>
      </c>
      <c r="M21" s="42">
        <f>+manip_pt_air_intra!M12</f>
        <v>2.4428560000000004</v>
      </c>
      <c r="N21" s="42">
        <f>+manip_pt_air_intra!N12</f>
        <v>3.4810749999999997</v>
      </c>
      <c r="O21" s="42">
        <f>+manip_pt_air_intra!O12</f>
        <v>5.957859999999999</v>
      </c>
      <c r="P21" s="42">
        <f>+manip_pt_air_intra!P12</f>
        <v>6.2672485714285715</v>
      </c>
      <c r="Q21" s="42">
        <f>+manip_pt_air_intra!Q12</f>
        <v>18.942678</v>
      </c>
    </row>
    <row r="22" spans="1:17" ht="11.25">
      <c r="A22" s="121">
        <v>1999</v>
      </c>
      <c r="B22" s="42">
        <f>+manip_pt_air_intra!B13</f>
        <v>98.67064399999998</v>
      </c>
      <c r="C22" s="42">
        <f>+manip_pt_air_intra!C13</f>
        <v>6.5132259999999995</v>
      </c>
      <c r="D22" s="42">
        <f>+manip_pt_air_intra!D13</f>
        <v>2.498556</v>
      </c>
      <c r="E22" s="42">
        <f>+manip_pt_air_intra!E13</f>
        <v>16.73266</v>
      </c>
      <c r="F22" s="42">
        <f>+manip_pt_air_intra!F13</f>
        <v>3.2457689999999997</v>
      </c>
      <c r="G22" s="42">
        <f>+manip_pt_air_intra!G13</f>
        <v>7.902027</v>
      </c>
      <c r="H22" s="42">
        <f>+manip_pt_air_intra!H13</f>
        <v>9.381706</v>
      </c>
      <c r="I22" s="42">
        <f>+manip_pt_air_intra!I13</f>
        <v>2.749788</v>
      </c>
      <c r="J22" s="42">
        <f>+manip_pt_air_intra!J13</f>
        <v>7.291016</v>
      </c>
      <c r="K22" s="42">
        <f>+manip_pt_air_intra!K13</f>
        <v>0.552126</v>
      </c>
      <c r="L22" s="42">
        <f>+manip_pt_air_intra!L13</f>
        <v>7.445784</v>
      </c>
      <c r="M22" s="42">
        <f>+manip_pt_air_intra!M13</f>
        <v>2.3479029999999996</v>
      </c>
      <c r="N22" s="42">
        <f>+manip_pt_air_intra!N13</f>
        <v>3.50286</v>
      </c>
      <c r="O22" s="42">
        <f>+manip_pt_air_intra!O13</f>
        <v>3.423655</v>
      </c>
      <c r="P22" s="42">
        <f>+manip_pt_air_intra!P13</f>
        <v>6.24639</v>
      </c>
      <c r="Q22" s="42">
        <f>+manip_pt_air_intra!Q13</f>
        <v>18.837178</v>
      </c>
    </row>
    <row r="23" spans="1:17" ht="11.25">
      <c r="A23" s="121">
        <v>2000</v>
      </c>
      <c r="B23" s="42">
        <f>+manip_pt_air_intra!B14</f>
        <v>106.739241</v>
      </c>
      <c r="C23" s="42">
        <f>+manip_pt_air_intra!C14</f>
        <v>7.225474</v>
      </c>
      <c r="D23" s="42">
        <f>+manip_pt_air_intra!D14</f>
        <v>2.673060285714286</v>
      </c>
      <c r="E23" s="42">
        <f>+manip_pt_air_intra!E14</f>
        <v>18.064996999999998</v>
      </c>
      <c r="F23" s="42">
        <f>+manip_pt_air_intra!F14</f>
        <v>3.738782</v>
      </c>
      <c r="G23" s="42">
        <f>+manip_pt_air_intra!G14</f>
        <v>9.322537</v>
      </c>
      <c r="H23" s="42">
        <f>+manip_pt_air_intra!H14</f>
        <v>10.362602</v>
      </c>
      <c r="I23" s="42">
        <f>+manip_pt_air_intra!I14</f>
        <v>2.8787849999999997</v>
      </c>
      <c r="J23" s="42">
        <f>+manip_pt_air_intra!J14</f>
        <v>7.759396</v>
      </c>
      <c r="K23" s="42">
        <f>+manip_pt_air_intra!K14</f>
        <v>0.557327</v>
      </c>
      <c r="L23" s="42">
        <f>+manip_pt_air_intra!L14</f>
        <v>8.140130000000001</v>
      </c>
      <c r="M23" s="42">
        <f>+manip_pt_air_intra!M14</f>
        <v>2.433876</v>
      </c>
      <c r="N23" s="42">
        <f>+manip_pt_air_intra!N14</f>
        <v>3.966798</v>
      </c>
      <c r="O23" s="42">
        <f>+manip_pt_air_intra!O14</f>
        <v>3.462752</v>
      </c>
      <c r="P23" s="42">
        <f>+manip_pt_air_intra!P14</f>
        <v>6.682650714285715</v>
      </c>
      <c r="Q23" s="42">
        <f>+manip_pt_air_intra!Q14</f>
        <v>19.470074</v>
      </c>
    </row>
    <row r="24" spans="1:17" ht="11.25">
      <c r="A24" s="121">
        <v>2001</v>
      </c>
      <c r="B24" s="42" t="e">
        <f>+manip_pt_air_intra!B15</f>
        <v>#N/A</v>
      </c>
      <c r="C24" s="42" t="e">
        <f>+manip_pt_air_intra!C15</f>
        <v>#N/A</v>
      </c>
      <c r="D24" s="42" t="e">
        <f>+manip_pt_air_intra!D15</f>
        <v>#N/A</v>
      </c>
      <c r="E24" s="42" t="e">
        <f>+manip_pt_air_intra!E15</f>
        <v>#N/A</v>
      </c>
      <c r="F24" s="42" t="e">
        <f>+manip_pt_air_intra!F15</f>
        <v>#N/A</v>
      </c>
      <c r="G24" s="42" t="e">
        <f>+manip_pt_air_intra!G15</f>
        <v>#N/A</v>
      </c>
      <c r="H24" s="42" t="e">
        <f>+manip_pt_air_intra!H15</f>
        <v>#N/A</v>
      </c>
      <c r="I24" s="42" t="e">
        <f>+manip_pt_air_intra!I15</f>
        <v>#N/A</v>
      </c>
      <c r="J24" s="42" t="e">
        <f>+manip_pt_air_intra!J15</f>
        <v>#N/A</v>
      </c>
      <c r="K24" s="42" t="e">
        <f>+manip_pt_air_intra!K15</f>
        <v>#N/A</v>
      </c>
      <c r="L24" s="42" t="e">
        <f>+manip_pt_air_intra!L15</f>
        <v>#N/A</v>
      </c>
      <c r="M24" s="42" t="e">
        <f>+manip_pt_air_intra!M15</f>
        <v>#N/A</v>
      </c>
      <c r="N24" s="42" t="e">
        <f>+manip_pt_air_intra!N15</f>
        <v>#N/A</v>
      </c>
      <c r="O24" s="42" t="e">
        <f>+manip_pt_air_intra!O15</f>
        <v>#N/A</v>
      </c>
      <c r="P24" s="42" t="e">
        <f>+manip_pt_air_intra!P15</f>
        <v>#N/A</v>
      </c>
      <c r="Q24" s="42" t="e">
        <f>+manip_pt_air_intra!Q15</f>
        <v>#N/A</v>
      </c>
    </row>
    <row r="26" spans="1:17" ht="11.25">
      <c r="A26" s="103" t="s">
        <v>160</v>
      </c>
      <c r="B26" s="228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ht="11.25">
      <c r="A27" s="105" t="s">
        <v>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2"/>
    </row>
    <row r="28" spans="1:17" ht="11.25">
      <c r="A28" s="105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2"/>
    </row>
    <row r="29" spans="1:17" ht="11.25">
      <c r="A29" s="106"/>
      <c r="B29" s="106" t="s">
        <v>5</v>
      </c>
      <c r="C29" s="106" t="s">
        <v>7</v>
      </c>
      <c r="D29" s="106" t="s">
        <v>8</v>
      </c>
      <c r="E29" s="106" t="s">
        <v>9</v>
      </c>
      <c r="F29" s="106" t="s">
        <v>10</v>
      </c>
      <c r="G29" s="106" t="s">
        <v>11</v>
      </c>
      <c r="H29" s="106" t="s">
        <v>12</v>
      </c>
      <c r="I29" s="106" t="s">
        <v>13</v>
      </c>
      <c r="J29" s="106" t="s">
        <v>14</v>
      </c>
      <c r="K29" s="106" t="s">
        <v>15</v>
      </c>
      <c r="L29" s="106" t="s">
        <v>16</v>
      </c>
      <c r="M29" s="106" t="s">
        <v>17</v>
      </c>
      <c r="N29" s="106" t="s">
        <v>18</v>
      </c>
      <c r="O29" s="106" t="s">
        <v>19</v>
      </c>
      <c r="P29" s="106" t="s">
        <v>20</v>
      </c>
      <c r="Q29" s="106" t="s">
        <v>21</v>
      </c>
    </row>
    <row r="30" spans="1:17" ht="11.25">
      <c r="A30" s="107">
        <v>1998</v>
      </c>
      <c r="B30" s="42">
        <f>+manip_pt_air_extra!B13</f>
        <v>333.727255</v>
      </c>
      <c r="C30" s="42">
        <f>+manip_pt_air_extra!C13</f>
        <v>9.662182000000001</v>
      </c>
      <c r="D30" s="42">
        <f>+manip_pt_air_extra!D13</f>
        <v>2.194656</v>
      </c>
      <c r="E30" s="42">
        <f>+manip_pt_air_extra!E13</f>
        <v>54.596273000000004</v>
      </c>
      <c r="F30" s="42">
        <f>+manip_pt_air_extra!F13</f>
        <v>4.186856000000001</v>
      </c>
      <c r="G30" s="42">
        <f>+manip_pt_air_extra!G13</f>
        <v>16.383273</v>
      </c>
      <c r="H30" s="42">
        <f>+manip_pt_air_extra!H13</f>
        <v>57.87044</v>
      </c>
      <c r="I30" s="42">
        <f>+manip_pt_air_extra!I13</f>
        <v>3.984234</v>
      </c>
      <c r="J30" s="42">
        <f>+manip_pt_air_extra!J13</f>
        <v>21.018613</v>
      </c>
      <c r="K30" s="42">
        <f>+manip_pt_air_extra!K13</f>
        <v>0</v>
      </c>
      <c r="L30" s="42">
        <f>+manip_pt_air_extra!L13</f>
        <v>50.294667000000004</v>
      </c>
      <c r="M30" s="42">
        <f>+manip_pt_air_extra!M13</f>
        <v>4.839092000000001</v>
      </c>
      <c r="N30" s="42">
        <f>+manip_pt_air_extra!N13</f>
        <v>4.493335999999999</v>
      </c>
      <c r="O30" s="42">
        <f>+manip_pt_air_extra!O13</f>
        <v>3.509353000000001</v>
      </c>
      <c r="P30" s="42">
        <f>+manip_pt_air_extra!P13</f>
        <v>5.48664</v>
      </c>
      <c r="Q30" s="42">
        <f>+manip_pt_air_extra!Q13</f>
        <v>95.20764</v>
      </c>
    </row>
    <row r="31" spans="1:17" ht="11.25">
      <c r="A31" s="107">
        <v>1999</v>
      </c>
      <c r="B31" s="42">
        <f>+manip_pt_air_extra!B14</f>
        <v>360.95281</v>
      </c>
      <c r="C31" s="42">
        <f>+manip_pt_air_extra!C14</f>
        <v>11.179742000000003</v>
      </c>
      <c r="D31" s="42">
        <f>+manip_pt_air_extra!D14</f>
        <v>2.2407805714285716</v>
      </c>
      <c r="E31" s="42">
        <f>+manip_pt_air_extra!E14</f>
        <v>63.77197199999999</v>
      </c>
      <c r="F31" s="42">
        <f>+manip_pt_air_extra!F14</f>
        <v>3.9873889999999994</v>
      </c>
      <c r="G31" s="42">
        <f>+manip_pt_air_extra!G14</f>
        <v>19.890818</v>
      </c>
      <c r="H31" s="42">
        <f>+manip_pt_air_extra!H14</f>
        <v>65.217028</v>
      </c>
      <c r="I31" s="42">
        <f>+manip_pt_air_extra!I14</f>
        <v>4.779140999999999</v>
      </c>
      <c r="J31" s="42">
        <f>+manip_pt_air_extra!J14</f>
        <v>22.367009</v>
      </c>
      <c r="K31" s="42">
        <f>+manip_pt_air_extra!K14</f>
        <v>0.18610699999999997</v>
      </c>
      <c r="L31" s="42">
        <f>+manip_pt_air_extra!L14</f>
        <v>50.666762999999996</v>
      </c>
      <c r="M31" s="42">
        <f>+manip_pt_air_extra!M14</f>
        <v>5.539680000000001</v>
      </c>
      <c r="N31" s="42">
        <f>+manip_pt_air_extra!N14</f>
        <v>4.634593000000001</v>
      </c>
      <c r="O31" s="42">
        <f>+manip_pt_air_extra!O14</f>
        <v>3.168808999999999</v>
      </c>
      <c r="P31" s="42">
        <f>+manip_pt_air_extra!P14</f>
        <v>5.601951428571429</v>
      </c>
      <c r="Q31" s="42">
        <f>+manip_pt_air_extra!Q14</f>
        <v>97.721027</v>
      </c>
    </row>
    <row r="32" spans="1:17" ht="11.25">
      <c r="A32" s="107">
        <v>2000</v>
      </c>
      <c r="B32" s="42">
        <f>+manip_pt_air_extra!B15</f>
        <v>386.125922</v>
      </c>
      <c r="C32" s="42">
        <f>+manip_pt_air_extra!C15</f>
        <v>12.153214999999998</v>
      </c>
      <c r="D32" s="42">
        <f>+manip_pt_air_extra!D15</f>
        <v>2.3916031428571434</v>
      </c>
      <c r="E32" s="42">
        <f>+manip_pt_air_extra!E15</f>
        <v>69.984206</v>
      </c>
      <c r="F32" s="42">
        <f>+manip_pt_air_extra!F15</f>
        <v>4.049117</v>
      </c>
      <c r="G32" s="42">
        <f>+manip_pt_air_extra!G15</f>
        <v>23.345264999999998</v>
      </c>
      <c r="H32" s="42">
        <f>+manip_pt_air_extra!H15</f>
        <v>72.11919799999998</v>
      </c>
      <c r="I32" s="42">
        <f>+manip_pt_air_extra!I15</f>
        <v>5.929194</v>
      </c>
      <c r="J32" s="42">
        <f>+manip_pt_air_extra!J15</f>
        <v>25.637677999999998</v>
      </c>
      <c r="K32" s="42">
        <f>+manip_pt_air_extra!K15</f>
        <v>0</v>
      </c>
      <c r="L32" s="42">
        <f>+manip_pt_air_extra!L15</f>
        <v>52.186489</v>
      </c>
      <c r="M32" s="42">
        <f>+manip_pt_air_extra!M15</f>
        <v>6.365083</v>
      </c>
      <c r="N32" s="42">
        <f>+manip_pt_air_extra!N15</f>
        <v>5.1986040000000004</v>
      </c>
      <c r="O32" s="42">
        <f>+manip_pt_air_extra!O15</f>
        <v>2.725727</v>
      </c>
      <c r="P32" s="42">
        <f>+manip_pt_air_extra!P15</f>
        <v>5.979007857142856</v>
      </c>
      <c r="Q32" s="42">
        <f>+manip_pt_air_extra!Q15</f>
        <v>98.061535</v>
      </c>
    </row>
    <row r="33" spans="1:17" ht="11.25">
      <c r="A33" s="107">
        <v>2001</v>
      </c>
      <c r="B33" s="42" t="e">
        <f>+manip_pt_air_extra!B16</f>
        <v>#N/A</v>
      </c>
      <c r="C33" s="42" t="e">
        <f>+manip_pt_air_extra!C16</f>
        <v>#N/A</v>
      </c>
      <c r="D33" s="42" t="e">
        <f>+manip_pt_air_extra!D16</f>
        <v>#N/A</v>
      </c>
      <c r="E33" s="42" t="e">
        <f>+manip_pt_air_extra!E16</f>
        <v>#N/A</v>
      </c>
      <c r="F33" s="42" t="e">
        <f>+manip_pt_air_extra!F16</f>
        <v>#N/A</v>
      </c>
      <c r="G33" s="42" t="e">
        <f>+manip_pt_air_extra!G16</f>
        <v>#N/A</v>
      </c>
      <c r="H33" s="42" t="e">
        <f>+manip_pt_air_extra!H16</f>
        <v>#N/A</v>
      </c>
      <c r="I33" s="42" t="e">
        <f>+manip_pt_air_extra!I16</f>
        <v>#N/A</v>
      </c>
      <c r="J33" s="42" t="e">
        <f>+manip_pt_air_extra!J16</f>
        <v>#N/A</v>
      </c>
      <c r="K33" s="42" t="e">
        <f>+manip_pt_air_extra!K16</f>
        <v>#N/A</v>
      </c>
      <c r="L33" s="42" t="e">
        <f>+manip_pt_air_extra!L16</f>
        <v>#N/A</v>
      </c>
      <c r="M33" s="42" t="e">
        <f>+manip_pt_air_extra!M16</f>
        <v>#N/A</v>
      </c>
      <c r="N33" s="42" t="e">
        <f>+manip_pt_air_extra!N16</f>
        <v>#N/A</v>
      </c>
      <c r="O33" s="42" t="e">
        <f>+manip_pt_air_extra!O16</f>
        <v>#N/A</v>
      </c>
      <c r="P33" s="42" t="e">
        <f>+manip_pt_air_extra!P16</f>
        <v>#N/A</v>
      </c>
      <c r="Q33" s="42" t="e">
        <f>+manip_pt_air_extra!Q16</f>
        <v>#N/A</v>
      </c>
    </row>
    <row r="35" spans="1:17" ht="11.25">
      <c r="A35" s="103" t="s">
        <v>165</v>
      </c>
      <c r="B35" s="228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ht="11.25">
      <c r="A36" s="105" t="s">
        <v>161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2"/>
    </row>
    <row r="37" spans="1:17" ht="11.25">
      <c r="A37" s="10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2"/>
    </row>
    <row r="38" spans="1:17" ht="11.25">
      <c r="A38" s="106"/>
      <c r="B38" s="106" t="s">
        <v>5</v>
      </c>
      <c r="C38" s="106" t="s">
        <v>7</v>
      </c>
      <c r="D38" s="106" t="s">
        <v>8</v>
      </c>
      <c r="E38" s="106" t="s">
        <v>9</v>
      </c>
      <c r="F38" s="106" t="s">
        <v>10</v>
      </c>
      <c r="G38" s="106" t="s">
        <v>11</v>
      </c>
      <c r="H38" s="106" t="s">
        <v>12</v>
      </c>
      <c r="I38" s="106" t="s">
        <v>13</v>
      </c>
      <c r="J38" s="106" t="s">
        <v>14</v>
      </c>
      <c r="K38" s="106" t="s">
        <v>15</v>
      </c>
      <c r="L38" s="106" t="s">
        <v>16</v>
      </c>
      <c r="M38" s="106" t="s">
        <v>17</v>
      </c>
      <c r="N38" s="106" t="s">
        <v>18</v>
      </c>
      <c r="O38" s="106" t="s">
        <v>19</v>
      </c>
      <c r="P38" s="106" t="s">
        <v>20</v>
      </c>
      <c r="Q38" s="106" t="s">
        <v>21</v>
      </c>
    </row>
    <row r="39" spans="1:17" ht="11.25">
      <c r="A39" s="107">
        <v>1998</v>
      </c>
      <c r="B39" s="365">
        <f>+B4/'[1]manip_POP'!B25*1000</f>
        <v>1263.0589576576951</v>
      </c>
      <c r="C39" s="39" t="e">
        <f>+U4/'[1]manip_POP'!C25*1000</f>
        <v>#REF!</v>
      </c>
      <c r="D39" s="39">
        <f>+D4/'[1]manip_POP'!D25*1000</f>
        <v>1122.160186571886</v>
      </c>
      <c r="E39" s="39">
        <f>+E4/'[1]manip_POP'!E25*1000</f>
        <v>919.649206273488</v>
      </c>
      <c r="F39" s="39">
        <f>+F4/'[1]manip_POP'!F25*1000</f>
        <v>814.0792170983779</v>
      </c>
      <c r="G39" s="39">
        <f>+G4/'[1]manip_POP'!G25*1000</f>
        <v>826.0032403932759</v>
      </c>
      <c r="H39" s="39">
        <f>+H4/'[1]manip_POP'!H25*1000</f>
        <v>1267.7976020408164</v>
      </c>
      <c r="I39" s="39">
        <f>+I4/'[1]manip_POP'!I25*1000</f>
        <v>1745.3700229805138</v>
      </c>
      <c r="J39" s="39">
        <f>+J4/'[1]manip_POP'!J25*1000</f>
        <v>617.5072109225562</v>
      </c>
      <c r="K39" s="39">
        <f>+K4/'[1]manip_POP'!K25*1000</f>
        <v>1064.4647672646265</v>
      </c>
      <c r="L39" s="39">
        <f>+L4/'[1]manip_POP'!L25*1000</f>
        <v>3646.6585502236585</v>
      </c>
      <c r="M39" s="39">
        <f>+M4/'[1]manip_POP'!M25*1000</f>
        <v>900.0628255119033</v>
      </c>
      <c r="N39" s="39">
        <f>+N4/'[1]manip_POP'!N25*1000</f>
        <v>938.564116865763</v>
      </c>
      <c r="O39" s="39">
        <f>+O4/'[1]manip_POP'!O25*1000</f>
        <v>2078.9143606924854</v>
      </c>
      <c r="P39" s="39">
        <f>+P4/'[1]manip_POP'!P25*1000</f>
        <v>1680.2987687327648</v>
      </c>
      <c r="Q39" s="39">
        <f>+Q4/'[1]manip_POP'!Q25*1000</f>
        <v>2014.736785109983</v>
      </c>
    </row>
    <row r="40" spans="1:17" ht="11.25">
      <c r="A40" s="107">
        <v>1999</v>
      </c>
      <c r="B40" s="39">
        <f>+B5/'[1]manip_POP'!B26*1000</f>
        <v>1345.8044388297872</v>
      </c>
      <c r="C40" s="39">
        <f>+C5/'[1]manip_POP'!C26*1000</f>
        <v>1734.604705882353</v>
      </c>
      <c r="D40" s="39">
        <f>+D5/'[1]manip_POP'!D26*1000</f>
        <v>1140.70102425876</v>
      </c>
      <c r="E40" s="39">
        <f>+E5/'[1]manip_POP'!E26*1000</f>
        <v>1049.3755542021922</v>
      </c>
      <c r="F40" s="39">
        <f>+F5/'[1]manip_POP'!F26*1000</f>
        <v>790.9953333333333</v>
      </c>
      <c r="G40" s="39">
        <f>+G5/'[1]manip_POP'!G26*1000</f>
        <v>996.3443147208122</v>
      </c>
      <c r="H40" s="39">
        <f>+H5/'[1]manip_POP'!H26*1000</f>
        <v>1418.3169373942471</v>
      </c>
      <c r="I40" s="39">
        <f>+I5/'[1]manip_POP'!I26*1000</f>
        <v>2000.4968421052633</v>
      </c>
      <c r="J40" s="39">
        <f>+J5/'[1]manip_POP'!J26*1000</f>
        <v>635.8751819757365</v>
      </c>
      <c r="K40" s="39">
        <f>+K5/'[1]manip_POP'!K26*1000</f>
        <v>1845.5824999999998</v>
      </c>
      <c r="L40" s="39">
        <f>+L5/'[1]manip_POP'!L26*1000</f>
        <v>3678.0093037974675</v>
      </c>
      <c r="M40" s="39">
        <f>+M5/'[1]manip_POP'!M26*1000</f>
        <v>974.177037037037</v>
      </c>
      <c r="N40" s="39">
        <f>+N5/'[1]manip_POP'!N26*1000</f>
        <v>937.9761</v>
      </c>
      <c r="O40" s="39">
        <f>+O5/'[1]manip_POP'!O26*1000</f>
        <v>1500.4769230769227</v>
      </c>
      <c r="P40" s="39">
        <f>+P5/'[1]manip_POP'!P26*1000</f>
        <v>1698.2346709470305</v>
      </c>
      <c r="Q40" s="39">
        <f>+Q5/'[1]manip_POP'!Q26*1000</f>
        <v>2040.6063025210085</v>
      </c>
    </row>
    <row r="41" spans="1:17" ht="11.25">
      <c r="A41" s="262" t="s">
        <v>166</v>
      </c>
      <c r="B41" s="122">
        <f>IF(ISNUMBER(B40/B39-1),B40/B39-1,NA())</f>
        <v>0.06551197049862267</v>
      </c>
      <c r="C41" s="122" t="e">
        <f aca="true" t="shared" si="0" ref="C41:Q41">IF(ISNUMBER(C40/C39-1),C40/C39-1,NA())</f>
        <v>#N/A</v>
      </c>
      <c r="D41" s="122">
        <f t="shared" si="0"/>
        <v>0.016522451882306388</v>
      </c>
      <c r="E41" s="122">
        <f t="shared" si="0"/>
        <v>0.14106068601349486</v>
      </c>
      <c r="F41" s="122">
        <f t="shared" si="0"/>
        <v>-0.028355820023661105</v>
      </c>
      <c r="G41" s="122">
        <f t="shared" si="0"/>
        <v>0.20622325191658297</v>
      </c>
      <c r="H41" s="122">
        <f t="shared" si="0"/>
        <v>0.11872505131034683</v>
      </c>
      <c r="I41" s="122">
        <f t="shared" si="0"/>
        <v>0.14617348514389938</v>
      </c>
      <c r="J41" s="122">
        <f t="shared" si="0"/>
        <v>0.02974535475583928</v>
      </c>
      <c r="K41" s="122">
        <f t="shared" si="0"/>
        <v>0.733812669763251</v>
      </c>
      <c r="L41" s="122">
        <f t="shared" si="0"/>
        <v>0.008597117920976283</v>
      </c>
      <c r="M41" s="122">
        <f t="shared" si="0"/>
        <v>0.08234337584488283</v>
      </c>
      <c r="N41" s="122">
        <f t="shared" si="0"/>
        <v>-0.0006265068685202824</v>
      </c>
      <c r="O41" s="122">
        <f t="shared" si="0"/>
        <v>-0.27824014714241785</v>
      </c>
      <c r="P41" s="122">
        <f t="shared" si="0"/>
        <v>0.010674233980301429</v>
      </c>
      <c r="Q41" s="122">
        <f t="shared" si="0"/>
        <v>0.01284014745857398</v>
      </c>
    </row>
    <row r="42" spans="1:17" ht="11.25">
      <c r="A42" s="107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11.25">
      <c r="A43" s="103" t="s">
        <v>136</v>
      </c>
      <c r="B43" s="228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ht="11.25">
      <c r="A44" s="105" t="s">
        <v>161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2"/>
    </row>
    <row r="45" spans="1:17" ht="11.25">
      <c r="A45" s="105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2"/>
    </row>
    <row r="46" spans="1:17" ht="11.25">
      <c r="A46" s="106"/>
      <c r="B46" s="106" t="s">
        <v>5</v>
      </c>
      <c r="C46" s="106" t="s">
        <v>7</v>
      </c>
      <c r="D46" s="106" t="s">
        <v>8</v>
      </c>
      <c r="E46" s="106" t="s">
        <v>9</v>
      </c>
      <c r="F46" s="106" t="s">
        <v>10</v>
      </c>
      <c r="G46" s="106" t="s">
        <v>11</v>
      </c>
      <c r="H46" s="106" t="s">
        <v>12</v>
      </c>
      <c r="I46" s="106" t="s">
        <v>13</v>
      </c>
      <c r="J46" s="106" t="s">
        <v>14</v>
      </c>
      <c r="K46" s="106" t="s">
        <v>15</v>
      </c>
      <c r="L46" s="106" t="s">
        <v>16</v>
      </c>
      <c r="M46" s="106" t="s">
        <v>17</v>
      </c>
      <c r="N46" s="106" t="s">
        <v>18</v>
      </c>
      <c r="O46" s="106" t="s">
        <v>19</v>
      </c>
      <c r="P46" s="106" t="s">
        <v>20</v>
      </c>
      <c r="Q46" s="106" t="s">
        <v>21</v>
      </c>
    </row>
    <row r="47" spans="1:17" ht="11.25">
      <c r="A47" s="107">
        <v>1998</v>
      </c>
      <c r="B47" s="39">
        <f>+manip_pt_air_dom!B36</f>
        <v>113.92493736415108</v>
      </c>
      <c r="C47" s="39">
        <f>+manip_pt_air_dom!C36</f>
        <v>0</v>
      </c>
      <c r="D47" s="39">
        <f>+manip_pt_air_dom!D36</f>
        <v>235.3059530546797</v>
      </c>
      <c r="E47" s="39">
        <f>+manip_pt_air_dom!E36</f>
        <v>63.7518373615123</v>
      </c>
      <c r="F47" s="39">
        <f>+manip_pt_air_dom!F36</f>
        <v>105.15378031383736</v>
      </c>
      <c r="G47" s="39">
        <f>+manip_pt_air_dom!G36</f>
        <v>218.80005587869246</v>
      </c>
      <c r="H47" s="39">
        <f>+manip_pt_air_dom!H36</f>
        <v>147.9957019075996</v>
      </c>
      <c r="I47" s="39">
        <f>+manip_pt_air_dom!I36</f>
        <v>18.40086206896552</v>
      </c>
      <c r="J47" s="39">
        <f>+manip_pt_air_dom!J36</f>
        <v>123.19844412030285</v>
      </c>
      <c r="K47" s="39">
        <f>+manip_pt_air_dom!K36</f>
        <v>0</v>
      </c>
      <c r="L47" s="39">
        <f>+manip_pt_air_dom!L36</f>
        <v>0</v>
      </c>
      <c r="M47" s="39">
        <f>+manip_pt_air_dom!M36</f>
        <v>0.19669614839480346</v>
      </c>
      <c r="N47" s="39">
        <f>+manip_pt_air_dom!N36</f>
        <v>138.59691011235955</v>
      </c>
      <c r="O47" s="39">
        <f>+manip_pt_air_dom!O36</f>
        <v>241.89171356491366</v>
      </c>
      <c r="P47" s="39">
        <f>+manip_pt_air_dom!P36</f>
        <v>352.28904209958915</v>
      </c>
      <c r="Q47" s="39">
        <f>+manip_pt_air_dom!Q36</f>
        <v>83.04153236013839</v>
      </c>
    </row>
    <row r="48" spans="1:17" ht="11.25">
      <c r="A48" s="107">
        <v>1999</v>
      </c>
      <c r="B48" s="39">
        <f>+manip_pt_air_dom!B37</f>
        <v>123.58321421993563</v>
      </c>
      <c r="C48" s="39">
        <f>+manip_pt_air_dom!C37</f>
        <v>0</v>
      </c>
      <c r="D48" s="39">
        <f>+manip_pt_air_dom!D37</f>
        <v>245.60610211371636</v>
      </c>
      <c r="E48" s="39">
        <f>+manip_pt_air_dom!E37</f>
        <v>68.81846090123894</v>
      </c>
      <c r="F48" s="39">
        <f>+manip_pt_air_dom!F37</f>
        <v>101.75488707534636</v>
      </c>
      <c r="G48" s="39">
        <f>+manip_pt_air_dom!G37</f>
        <v>290.8093003196509</v>
      </c>
      <c r="H48" s="39">
        <f>+manip_pt_air_dom!H37</f>
        <v>157.3489764585466</v>
      </c>
      <c r="I48" s="39">
        <f>+manip_pt_air_dom!I37</f>
        <v>19.44536247334755</v>
      </c>
      <c r="J48" s="39">
        <f>+manip_pt_air_dom!J37</f>
        <v>121.98544565104257</v>
      </c>
      <c r="K48" s="39">
        <f>+manip_pt_air_dom!K37</f>
        <v>0</v>
      </c>
      <c r="L48" s="39">
        <f>+manip_pt_air_dom!L37</f>
        <v>0</v>
      </c>
      <c r="M48" s="39">
        <f>+manip_pt_air_dom!M37</f>
        <v>0.4017424078593716</v>
      </c>
      <c r="N48" s="39">
        <f>+manip_pt_air_dom!N37</f>
        <v>124.36760436480127</v>
      </c>
      <c r="O48" s="39">
        <f>+manip_pt_air_dom!O37</f>
        <v>234.2722168441433</v>
      </c>
      <c r="P48" s="39">
        <f>+manip_pt_air_dom!P37</f>
        <v>368.72526281495055</v>
      </c>
      <c r="Q48" s="39">
        <f>+manip_pt_air_dom!Q37</f>
        <v>81.64363900377977</v>
      </c>
    </row>
    <row r="49" spans="1:17" ht="11.25">
      <c r="A49" s="262" t="s">
        <v>166</v>
      </c>
      <c r="B49" s="122">
        <f aca="true" t="shared" si="1" ref="B49:Q49">IF(ISNUMBER(B48/B47-1),B48/B47-1,NA())</f>
        <v>0.08477754808776172</v>
      </c>
      <c r="C49" s="122" t="e">
        <f t="shared" si="1"/>
        <v>#N/A</v>
      </c>
      <c r="D49" s="122">
        <f t="shared" si="1"/>
        <v>0.043773431676176644</v>
      </c>
      <c r="E49" s="122">
        <f t="shared" si="1"/>
        <v>0.07947415712892703</v>
      </c>
      <c r="F49" s="122">
        <f t="shared" si="1"/>
        <v>-0.0323230722504394</v>
      </c>
      <c r="G49" s="122">
        <f t="shared" si="1"/>
        <v>0.32910980827574354</v>
      </c>
      <c r="H49" s="122">
        <f t="shared" si="1"/>
        <v>0.06319963641097259</v>
      </c>
      <c r="I49" s="122">
        <f t="shared" si="1"/>
        <v>0.05676366685796008</v>
      </c>
      <c r="J49" s="122">
        <f t="shared" si="1"/>
        <v>-0.00984589113865586</v>
      </c>
      <c r="K49" s="122" t="e">
        <f t="shared" si="1"/>
        <v>#N/A</v>
      </c>
      <c r="L49" s="122" t="e">
        <f t="shared" si="1"/>
        <v>#N/A</v>
      </c>
      <c r="M49" s="122">
        <f t="shared" si="1"/>
        <v>1.0424518280500568</v>
      </c>
      <c r="N49" s="122">
        <f t="shared" si="1"/>
        <v>-0.10266683244253194</v>
      </c>
      <c r="O49" s="122">
        <f t="shared" si="1"/>
        <v>-0.031499618604031276</v>
      </c>
      <c r="P49" s="122">
        <f t="shared" si="1"/>
        <v>0.046655498046161314</v>
      </c>
      <c r="Q49" s="122">
        <f t="shared" si="1"/>
        <v>-0.016833665235079898</v>
      </c>
    </row>
    <row r="50" spans="1:17" ht="11.25">
      <c r="A50" s="262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</row>
    <row r="51" spans="1:17" ht="11.25">
      <c r="A51" s="103" t="s">
        <v>159</v>
      </c>
      <c r="B51" s="228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 ht="11.25">
      <c r="A52" s="105" t="s">
        <v>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2"/>
    </row>
    <row r="53" spans="1:17" ht="11.25">
      <c r="A53" s="105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2"/>
    </row>
    <row r="54" spans="1:17" ht="11.25">
      <c r="A54" s="106"/>
      <c r="B54" s="106" t="s">
        <v>5</v>
      </c>
      <c r="C54" s="106" t="s">
        <v>7</v>
      </c>
      <c r="D54" s="106" t="s">
        <v>8</v>
      </c>
      <c r="E54" s="106" t="s">
        <v>9</v>
      </c>
      <c r="F54" s="106" t="s">
        <v>10</v>
      </c>
      <c r="G54" s="106" t="s">
        <v>11</v>
      </c>
      <c r="H54" s="106" t="s">
        <v>12</v>
      </c>
      <c r="I54" s="106" t="s">
        <v>13</v>
      </c>
      <c r="J54" s="106" t="s">
        <v>14</v>
      </c>
      <c r="K54" s="106" t="s">
        <v>15</v>
      </c>
      <c r="L54" s="106" t="s">
        <v>16</v>
      </c>
      <c r="M54" s="106" t="s">
        <v>17</v>
      </c>
      <c r="N54" s="106" t="s">
        <v>18</v>
      </c>
      <c r="O54" s="106" t="s">
        <v>19</v>
      </c>
      <c r="P54" s="106" t="s">
        <v>20</v>
      </c>
      <c r="Q54" s="106" t="s">
        <v>21</v>
      </c>
    </row>
    <row r="55" spans="1:17" ht="11.25">
      <c r="A55" s="107">
        <v>1998</v>
      </c>
      <c r="B55" s="39">
        <f>+manip_pt_air_intra!B46</f>
        <v>258.99448121071373</v>
      </c>
      <c r="C55" s="39">
        <f>+manip_pt_air_intra!C46</f>
        <v>556.3362736450065</v>
      </c>
      <c r="D55" s="39">
        <f>+manip_pt_air_intra!D46</f>
        <v>472.9106637561646</v>
      </c>
      <c r="E55" s="39">
        <f>+manip_pt_air_intra!E46</f>
        <v>190.2682121223201</v>
      </c>
      <c r="F55" s="39">
        <f>+manip_pt_air_intra!F46</f>
        <v>310.85183071802186</v>
      </c>
      <c r="G55" s="39">
        <f>+manip_pt_air_intra!G46</f>
        <v>191.08087170760203</v>
      </c>
      <c r="H55" s="39">
        <f>+manip_pt_air_intra!H46</f>
        <v>137.5630329805815</v>
      </c>
      <c r="I55" s="39">
        <f>+manip_pt_air_intra!I46</f>
        <v>650.2815193965516</v>
      </c>
      <c r="J55" s="39">
        <f>+manip_pt_air_intra!J46</f>
        <v>129.3260922414392</v>
      </c>
      <c r="K55" s="39">
        <f>+manip_pt_air_intra!K46</f>
        <v>1064.090482887951</v>
      </c>
      <c r="L55" s="39">
        <f>+manip_pt_air_intra!L46</f>
        <v>444.9076952478023</v>
      </c>
      <c r="M55" s="39">
        <f>+manip_pt_air_intra!M46</f>
        <v>302.3916716696892</v>
      </c>
      <c r="N55" s="39">
        <f>+manip_pt_air_intra!N46</f>
        <v>349.22502006420547</v>
      </c>
      <c r="O55" s="39">
        <f>+manip_pt_air_intra!O46</f>
        <v>1156.1925092179313</v>
      </c>
      <c r="P55" s="39">
        <f>+manip_pt_air_intra!P46</f>
        <v>708.0196763854325</v>
      </c>
      <c r="Q55" s="39">
        <f>+manip_pt_air_intra!Q46</f>
        <v>319.68066829803394</v>
      </c>
    </row>
    <row r="56" spans="1:17" ht="11.25">
      <c r="A56" s="107">
        <v>1999</v>
      </c>
      <c r="B56" s="39">
        <f>+manip_pt_air_intra!B47</f>
        <v>262.8080646684203</v>
      </c>
      <c r="C56" s="39">
        <f>+manip_pt_air_intra!C47</f>
        <v>636.9280265988656</v>
      </c>
      <c r="D56" s="39">
        <f>+manip_pt_air_intra!D47</f>
        <v>469.7416807670615</v>
      </c>
      <c r="E56" s="39">
        <f>+manip_pt_air_intra!E47</f>
        <v>203.84055940648335</v>
      </c>
      <c r="F56" s="39">
        <f>+manip_pt_air_intra!F47</f>
        <v>308.00616815334973</v>
      </c>
      <c r="G56" s="39">
        <f>+manip_pt_air_intra!G47</f>
        <v>200.46747678725455</v>
      </c>
      <c r="H56" s="39">
        <f>+manip_pt_air_intra!H47</f>
        <v>160.04274991470487</v>
      </c>
      <c r="I56" s="39">
        <f>+manip_pt_air_intra!I47</f>
        <v>732.8859275053305</v>
      </c>
      <c r="J56" s="39">
        <f>+manip_pt_air_intra!J47</f>
        <v>126.47913124934948</v>
      </c>
      <c r="K56" s="39">
        <f>+manip_pt_air_intra!K47</f>
        <v>1278.0694444444446</v>
      </c>
      <c r="L56" s="39">
        <f>+manip_pt_air_intra!L47</f>
        <v>471.1030686491617</v>
      </c>
      <c r="M56" s="39">
        <f>+manip_pt_air_intra!M47</f>
        <v>290.14217306682315</v>
      </c>
      <c r="N56" s="39">
        <f>+manip_pt_air_intra!N47</f>
        <v>350.6717389128041</v>
      </c>
      <c r="O56" s="39">
        <f>+manip_pt_air_intra!O47</f>
        <v>662.8567279767667</v>
      </c>
      <c r="P56" s="39">
        <f>+manip_pt_air_intra!P47</f>
        <v>705.217106600131</v>
      </c>
      <c r="Q56" s="39">
        <f>+manip_pt_air_intra!Q47</f>
        <v>316.58643818832996</v>
      </c>
    </row>
    <row r="57" spans="1:17" ht="11.25">
      <c r="A57" s="262" t="s">
        <v>166</v>
      </c>
      <c r="B57" s="122">
        <f aca="true" t="shared" si="2" ref="B57:Q57">IF(ISNUMBER(B56/B55-1),B56/B55-1,NA())</f>
        <v>0.0147245742066755</v>
      </c>
      <c r="C57" s="122">
        <f t="shared" si="2"/>
        <v>0.14486158241280522</v>
      </c>
      <c r="D57" s="122">
        <f t="shared" si="2"/>
        <v>-0.006701018251381696</v>
      </c>
      <c r="E57" s="122">
        <f t="shared" si="2"/>
        <v>0.07133271045526945</v>
      </c>
      <c r="F57" s="122">
        <f t="shared" si="2"/>
        <v>-0.009154401819346125</v>
      </c>
      <c r="G57" s="122">
        <f t="shared" si="2"/>
        <v>0.04912372963221667</v>
      </c>
      <c r="H57" s="122">
        <f t="shared" si="2"/>
        <v>0.16341393793852022</v>
      </c>
      <c r="I57" s="122">
        <f t="shared" si="2"/>
        <v>0.12702868779883847</v>
      </c>
      <c r="J57" s="122">
        <f t="shared" si="2"/>
        <v>-0.0220138174961223</v>
      </c>
      <c r="K57" s="122">
        <f t="shared" si="2"/>
        <v>0.2010909457396448</v>
      </c>
      <c r="L57" s="122">
        <f t="shared" si="2"/>
        <v>0.05887822054138492</v>
      </c>
      <c r="M57" s="122">
        <f t="shared" si="2"/>
        <v>-0.040508716841403225</v>
      </c>
      <c r="N57" s="122">
        <f t="shared" si="2"/>
        <v>0.004142655209333546</v>
      </c>
      <c r="O57" s="122">
        <f t="shared" si="2"/>
        <v>-0.4266899995528127</v>
      </c>
      <c r="P57" s="122">
        <f t="shared" si="2"/>
        <v>-0.003958321892421179</v>
      </c>
      <c r="Q57" s="122">
        <f t="shared" si="2"/>
        <v>-0.009679128006637172</v>
      </c>
    </row>
    <row r="59" spans="1:17" ht="11.25">
      <c r="A59" s="103" t="s">
        <v>160</v>
      </c>
      <c r="B59" s="228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ht="11.25">
      <c r="A60" s="105" t="s">
        <v>3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2"/>
    </row>
    <row r="61" spans="1:17" ht="11.25">
      <c r="A61" s="105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2"/>
    </row>
    <row r="62" spans="1:17" ht="11.25">
      <c r="A62" s="106"/>
      <c r="B62" s="106" t="s">
        <v>5</v>
      </c>
      <c r="C62" s="106" t="s">
        <v>7</v>
      </c>
      <c r="D62" s="106" t="s">
        <v>8</v>
      </c>
      <c r="E62" s="106" t="s">
        <v>9</v>
      </c>
      <c r="F62" s="106" t="s">
        <v>10</v>
      </c>
      <c r="G62" s="106" t="s">
        <v>11</v>
      </c>
      <c r="H62" s="106" t="s">
        <v>12</v>
      </c>
      <c r="I62" s="106" t="s">
        <v>13</v>
      </c>
      <c r="J62" s="106" t="s">
        <v>14</v>
      </c>
      <c r="K62" s="106" t="s">
        <v>15</v>
      </c>
      <c r="L62" s="106" t="s">
        <v>16</v>
      </c>
      <c r="M62" s="106" t="s">
        <v>17</v>
      </c>
      <c r="N62" s="106" t="s">
        <v>18</v>
      </c>
      <c r="O62" s="106" t="s">
        <v>19</v>
      </c>
      <c r="P62" s="106" t="s">
        <v>20</v>
      </c>
      <c r="Q62" s="106" t="s">
        <v>21</v>
      </c>
    </row>
    <row r="63" spans="1:17" ht="11.25">
      <c r="A63" s="107">
        <v>1998</v>
      </c>
      <c r="B63" s="39">
        <f>+manip_pt_air_extra!B46</f>
        <v>890.9708533225868</v>
      </c>
      <c r="C63" s="39">
        <f>+manip_pt_air_extra!C46</f>
        <v>946.9942173870432</v>
      </c>
      <c r="D63" s="39">
        <f>+manip_pt_air_extra!D46</f>
        <v>414.00792303338994</v>
      </c>
      <c r="E63" s="39">
        <f>+manip_pt_air_extra!E46</f>
        <v>665.4268041488416</v>
      </c>
      <c r="F63" s="39">
        <f>+manip_pt_air_extra!F46</f>
        <v>398.1793628150262</v>
      </c>
      <c r="G63" s="39">
        <f>+manip_pt_air_extra!G46</f>
        <v>416.1253968657133</v>
      </c>
      <c r="H63" s="39">
        <f>+manip_pt_air_extra!H46</f>
        <v>990.9661289770198</v>
      </c>
      <c r="I63" s="39">
        <f>+manip_pt_air_extra!I46</f>
        <v>1073.3389008620688</v>
      </c>
      <c r="J63" s="39">
        <f>+manip_pt_air_extra!J46</f>
        <v>364.9825137181357</v>
      </c>
      <c r="K63" s="39">
        <f>+manip_pt_air_extra!K46</f>
        <v>0</v>
      </c>
      <c r="L63" s="39">
        <f>+manip_pt_air_extra!L46</f>
        <v>3203.8901133902414</v>
      </c>
      <c r="M63" s="39">
        <f>+manip_pt_air_extra!M46</f>
        <v>599.012434315989</v>
      </c>
      <c r="N63" s="39">
        <f>+manip_pt_air_extra!N46</f>
        <v>450.7760834670946</v>
      </c>
      <c r="O63" s="39">
        <f>+manip_pt_air_extra!O46</f>
        <v>681.0310498738601</v>
      </c>
      <c r="P63" s="39">
        <f>+manip_pt_air_extra!P46</f>
        <v>619.8332542533724</v>
      </c>
      <c r="Q63" s="39">
        <f>+manip_pt_air_extra!Q46</f>
        <v>1606.744409754451</v>
      </c>
    </row>
    <row r="64" spans="1:17" ht="11.25">
      <c r="A64" s="107">
        <v>1999</v>
      </c>
      <c r="B64" s="39">
        <f>+manip_pt_air_extra!B47</f>
        <v>961.393435647669</v>
      </c>
      <c r="C64" s="39">
        <f>+manip_pt_air_extra!C47</f>
        <v>1093.2663798161552</v>
      </c>
      <c r="D64" s="39">
        <f>+manip_pt_air_extra!D47</f>
        <v>421.2785432277818</v>
      </c>
      <c r="E64" s="39">
        <f>+manip_pt_air_extra!E47</f>
        <v>776.8827219900836</v>
      </c>
      <c r="F64" s="39">
        <f>+manip_pt_air_extra!F47</f>
        <v>378.3819510343518</v>
      </c>
      <c r="G64" s="39">
        <f>+manip_pt_air_extra!G47</f>
        <v>504.61256278857377</v>
      </c>
      <c r="H64" s="39">
        <f>+manip_pt_air_extra!H47</f>
        <v>1112.5388604571817</v>
      </c>
      <c r="I64" s="39">
        <f>+manip_pt_air_extra!I47</f>
        <v>1273.7582622601278</v>
      </c>
      <c r="J64" s="39">
        <f>+manip_pt_air_extra!J47</f>
        <v>388.00626235992087</v>
      </c>
      <c r="K64" s="39">
        <f>+manip_pt_air_extra!K47</f>
        <v>430.80324074074065</v>
      </c>
      <c r="L64" s="39">
        <f>+manip_pt_air_extra!L47</f>
        <v>3205.7426763682374</v>
      </c>
      <c r="M64" s="39">
        <f>+manip_pt_air_extra!M47</f>
        <v>684.5660971917576</v>
      </c>
      <c r="N64" s="39">
        <f>+manip_pt_air_extra!N47</f>
        <v>463.9696666332967</v>
      </c>
      <c r="O64" s="39">
        <f>+manip_pt_air_extra!O47</f>
        <v>613.5157792836397</v>
      </c>
      <c r="P64" s="39">
        <f>+manip_pt_air_extra!P47</f>
        <v>632.4600253541026</v>
      </c>
      <c r="Q64" s="39">
        <f>+manip_pt_air_extra!Q47</f>
        <v>1642.3453594819575</v>
      </c>
    </row>
    <row r="65" spans="1:17" ht="11.25">
      <c r="A65" s="262" t="s">
        <v>166</v>
      </c>
      <c r="B65" s="122">
        <f aca="true" t="shared" si="3" ref="B65:Q65">IF(ISNUMBER(B64/B63-1),B64/B63-1,NA())</f>
        <v>0.07904027619137488</v>
      </c>
      <c r="C65" s="122">
        <f t="shared" si="3"/>
        <v>0.15445940402118574</v>
      </c>
      <c r="D65" s="122">
        <f t="shared" si="3"/>
        <v>0.017561548438785657</v>
      </c>
      <c r="E65" s="122">
        <f t="shared" si="3"/>
        <v>0.16749538363397787</v>
      </c>
      <c r="F65" s="122">
        <f t="shared" si="3"/>
        <v>-0.04971983389774837</v>
      </c>
      <c r="G65" s="122">
        <f t="shared" si="3"/>
        <v>0.21264543473998998</v>
      </c>
      <c r="H65" s="122">
        <f t="shared" si="3"/>
        <v>0.12268101595527003</v>
      </c>
      <c r="I65" s="122">
        <f t="shared" si="3"/>
        <v>0.1867251445345819</v>
      </c>
      <c r="J65" s="122">
        <f t="shared" si="3"/>
        <v>0.06308178550045729</v>
      </c>
      <c r="K65" s="122" t="e">
        <f t="shared" si="3"/>
        <v>#N/A</v>
      </c>
      <c r="L65" s="122">
        <f t="shared" si="3"/>
        <v>0.0005782230077908679</v>
      </c>
      <c r="M65" s="122">
        <f t="shared" si="3"/>
        <v>0.14282451911613858</v>
      </c>
      <c r="N65" s="122">
        <f t="shared" si="3"/>
        <v>0.029268596205737296</v>
      </c>
      <c r="O65" s="122">
        <f t="shared" si="3"/>
        <v>-0.09913684640770115</v>
      </c>
      <c r="P65" s="122">
        <f t="shared" si="3"/>
        <v>0.020371238577607365</v>
      </c>
      <c r="Q65" s="122">
        <f t="shared" si="3"/>
        <v>0.02215719532700744</v>
      </c>
    </row>
    <row r="67" spans="11:17" ht="11.25">
      <c r="K67" s="264" t="s">
        <v>167</v>
      </c>
      <c r="L67" s="261">
        <f>+L64/L40</f>
        <v>0.8715972178369357</v>
      </c>
      <c r="Q67" s="261">
        <f>+Q64/Q40</f>
        <v>0.8048320528330081</v>
      </c>
    </row>
    <row r="68" spans="3:17" ht="11.25">
      <c r="C68" s="264"/>
      <c r="D68" s="261"/>
      <c r="E68" s="261"/>
      <c r="F68" s="261"/>
      <c r="G68" s="261"/>
      <c r="H68" s="261"/>
      <c r="I68" s="261"/>
      <c r="J68" s="261"/>
      <c r="K68" s="265"/>
      <c r="L68" s="261"/>
      <c r="M68" s="261"/>
      <c r="N68" s="261"/>
      <c r="O68" s="261"/>
      <c r="P68" s="261"/>
      <c r="Q68" s="261"/>
    </row>
    <row r="69" spans="11:17" ht="11.25">
      <c r="K69" s="264"/>
      <c r="L69" s="261"/>
      <c r="Q69" s="261"/>
    </row>
    <row r="70" ht="11.25">
      <c r="A70" s="103" t="s">
        <v>162</v>
      </c>
    </row>
    <row r="72" ht="11.25">
      <c r="A72" s="109" t="s">
        <v>163</v>
      </c>
    </row>
    <row r="73" spans="1:2" ht="11.25">
      <c r="A73" s="109" t="s">
        <v>164</v>
      </c>
      <c r="B73" s="109" t="s">
        <v>170</v>
      </c>
    </row>
    <row r="75" spans="2:4" ht="11.25">
      <c r="B75" s="109" t="s">
        <v>129</v>
      </c>
      <c r="C75" s="109" t="s">
        <v>130</v>
      </c>
      <c r="D75" s="109" t="s">
        <v>131</v>
      </c>
    </row>
    <row r="76" spans="1:4" ht="11.25">
      <c r="A76" s="109" t="s">
        <v>42</v>
      </c>
      <c r="B76" s="266">
        <f>+$M$48</f>
        <v>0.4017424078593716</v>
      </c>
      <c r="C76" s="266">
        <f>+$M$56</f>
        <v>290.14217306682315</v>
      </c>
      <c r="D76" s="266">
        <f>+$M$64</f>
        <v>684.5660971917576</v>
      </c>
    </row>
    <row r="77" spans="1:4" ht="11.25">
      <c r="A77" s="109" t="s">
        <v>33</v>
      </c>
      <c r="B77" s="266">
        <f>+$C$48</f>
        <v>0</v>
      </c>
      <c r="C77" s="266">
        <f>+$C$56</f>
        <v>636.9280265988656</v>
      </c>
      <c r="D77" s="266">
        <f>+$C$64</f>
        <v>1093.2663798161552</v>
      </c>
    </row>
    <row r="78" spans="1:4" ht="11.25">
      <c r="A78" s="109" t="s">
        <v>34</v>
      </c>
      <c r="B78" s="266">
        <f>+$D$48</f>
        <v>245.60610211371636</v>
      </c>
      <c r="C78" s="266">
        <f>+$D$56</f>
        <v>469.7416807670615</v>
      </c>
      <c r="D78" s="266">
        <f>+$D$64</f>
        <v>421.2785432277818</v>
      </c>
    </row>
    <row r="79" spans="1:4" ht="11.25">
      <c r="A79" s="109" t="s">
        <v>44</v>
      </c>
      <c r="B79" s="266">
        <f>+$O$48</f>
        <v>234.2722168441433</v>
      </c>
      <c r="C79" s="266">
        <f>+$O$56</f>
        <v>662.8567279767667</v>
      </c>
      <c r="D79" s="266">
        <f>+$O$64</f>
        <v>613.5157792836397</v>
      </c>
    </row>
    <row r="80" spans="1:4" ht="11.25">
      <c r="A80" s="109" t="s">
        <v>37</v>
      </c>
      <c r="B80" s="266">
        <f>+$H$48</f>
        <v>157.3489764585466</v>
      </c>
      <c r="C80" s="266">
        <f>+$H$56</f>
        <v>160.04274991470487</v>
      </c>
      <c r="D80" s="266">
        <f>+$H$64</f>
        <v>1112.5388604571817</v>
      </c>
    </row>
    <row r="81" spans="1:4" ht="11.25">
      <c r="A81" s="109" t="s">
        <v>96</v>
      </c>
      <c r="B81" s="266">
        <f>+$E$48</f>
        <v>68.81846090123894</v>
      </c>
      <c r="C81" s="266">
        <f>+$E$56</f>
        <v>203.84055940648335</v>
      </c>
      <c r="D81" s="266">
        <f>+$E$64</f>
        <v>776.8827219900836</v>
      </c>
    </row>
    <row r="82" spans="1:4" ht="11.25">
      <c r="A82" s="109" t="s">
        <v>35</v>
      </c>
      <c r="B82" s="266">
        <f>+$F$48</f>
        <v>101.75488707534636</v>
      </c>
      <c r="C82" s="266">
        <f>+$F$56</f>
        <v>308.00616815334973</v>
      </c>
      <c r="D82" s="266">
        <f>+$F$64</f>
        <v>378.3819510343518</v>
      </c>
    </row>
    <row r="83" spans="1:4" ht="11.25">
      <c r="A83" s="109" t="s">
        <v>38</v>
      </c>
      <c r="B83" s="266">
        <f>+$I$48</f>
        <v>19.44536247334755</v>
      </c>
      <c r="C83" s="266">
        <f>+$I$56</f>
        <v>732.8859275053305</v>
      </c>
      <c r="D83" s="266">
        <f>+$I$64</f>
        <v>1273.7582622601278</v>
      </c>
    </row>
    <row r="84" spans="1:4" ht="11.25">
      <c r="A84" s="109" t="s">
        <v>39</v>
      </c>
      <c r="B84" s="266">
        <f>+$J$48</f>
        <v>121.98544565104257</v>
      </c>
      <c r="C84" s="266">
        <f>+$J$56</f>
        <v>126.47913124934948</v>
      </c>
      <c r="D84" s="266">
        <f>+$J$64</f>
        <v>388.00626235992087</v>
      </c>
    </row>
    <row r="85" spans="1:4" ht="11.25">
      <c r="A85" s="109" t="s">
        <v>40</v>
      </c>
      <c r="B85" s="266">
        <f>+$K$48</f>
        <v>0</v>
      </c>
      <c r="C85" s="266">
        <f>+$K$56</f>
        <v>1278.0694444444446</v>
      </c>
      <c r="D85" s="266">
        <f>+$K$64</f>
        <v>430.80324074074065</v>
      </c>
    </row>
    <row r="86" spans="1:4" ht="11.25">
      <c r="A86" s="109" t="s">
        <v>41</v>
      </c>
      <c r="B86" s="266">
        <f>+$L$48</f>
        <v>0</v>
      </c>
      <c r="C86" s="266">
        <f>+$L$56</f>
        <v>471.1030686491617</v>
      </c>
      <c r="D86" s="266">
        <f>+$L$64</f>
        <v>3205.7426763682374</v>
      </c>
    </row>
    <row r="87" spans="1:4" ht="11.25">
      <c r="A87" s="109" t="s">
        <v>43</v>
      </c>
      <c r="B87" s="266">
        <f>+$N$48</f>
        <v>124.36760436480127</v>
      </c>
      <c r="C87" s="266">
        <f>+$N$56</f>
        <v>350.6717389128041</v>
      </c>
      <c r="D87" s="266">
        <f>+$N$64</f>
        <v>463.9696666332967</v>
      </c>
    </row>
    <row r="88" spans="1:4" ht="11.25">
      <c r="A88" s="109" t="s">
        <v>36</v>
      </c>
      <c r="B88" s="266">
        <f>+$G$48</f>
        <v>290.8093003196509</v>
      </c>
      <c r="C88" s="266">
        <f>+$G$56</f>
        <v>200.46747678725455</v>
      </c>
      <c r="D88" s="266">
        <f>+$G$64</f>
        <v>504.61256278857377</v>
      </c>
    </row>
    <row r="89" spans="1:4" ht="11.25">
      <c r="A89" s="109" t="s">
        <v>45</v>
      </c>
      <c r="B89" s="266">
        <f>+$P$48</f>
        <v>368.72526281495055</v>
      </c>
      <c r="C89" s="266">
        <f>+$P$56</f>
        <v>705.217106600131</v>
      </c>
      <c r="D89" s="266">
        <f>+$P$64</f>
        <v>632.4600253541026</v>
      </c>
    </row>
    <row r="90" spans="1:4" ht="11.25">
      <c r="A90" s="109" t="s">
        <v>46</v>
      </c>
      <c r="B90" s="266">
        <f>+$Q$48</f>
        <v>81.64363900377977</v>
      </c>
      <c r="C90" s="266">
        <f>+$Q$56</f>
        <v>316.58643818832996</v>
      </c>
      <c r="D90" s="266">
        <f>+$Q$64</f>
        <v>1642.3453594819575</v>
      </c>
    </row>
    <row r="91" spans="1:4" ht="11.25">
      <c r="A91" s="103" t="s">
        <v>5</v>
      </c>
      <c r="B91" s="267">
        <f>+$B$48</f>
        <v>123.58321421993563</v>
      </c>
      <c r="C91" s="267">
        <f>+$B$56</f>
        <v>262.8080646684203</v>
      </c>
      <c r="D91" s="267">
        <f>+$B$64</f>
        <v>961.393435647669</v>
      </c>
    </row>
  </sheetData>
  <conditionalFormatting sqref="B21:B24 B12:B15 B30:B33 B4:B8 T4:T13">
    <cfRule type="cellIs" priority="1" dxfId="2" operator="notEqual" stopIfTrue="1">
      <formula>SUM($C4:$Q4)</formula>
    </cfRule>
  </conditionalFormatting>
  <conditionalFormatting sqref="B57:Q57 B41:Q41 B49:Q49 B65:Q65">
    <cfRule type="cellIs" priority="2" dxfId="1" operator="greaterThan" stopIfTrue="1">
      <formula>0</formula>
    </cfRule>
    <cfRule type="cellIs" priority="3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A1:Q48"/>
  <sheetViews>
    <sheetView workbookViewId="0" topLeftCell="A1">
      <selection activeCell="B38" sqref="B38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139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106"/>
      <c r="B4" s="106" t="s">
        <v>5</v>
      </c>
      <c r="C4" s="106" t="s">
        <v>7</v>
      </c>
      <c r="D4" s="106" t="s">
        <v>8</v>
      </c>
      <c r="E4" s="106" t="s">
        <v>9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06" t="s">
        <v>15</v>
      </c>
      <c r="L4" s="106" t="s">
        <v>16</v>
      </c>
      <c r="M4" s="106" t="s">
        <v>17</v>
      </c>
      <c r="N4" s="106" t="s">
        <v>18</v>
      </c>
      <c r="O4" s="106" t="s">
        <v>19</v>
      </c>
      <c r="P4" s="106" t="s">
        <v>20</v>
      </c>
      <c r="Q4" s="106" t="s">
        <v>21</v>
      </c>
    </row>
    <row r="5" spans="1:17" ht="11.25">
      <c r="A5" s="107">
        <v>1990</v>
      </c>
      <c r="B5" s="28">
        <f>IF(manip_aviation!B36=":",NA(),manip_aviation!B36)</f>
        <v>184.49524800000003</v>
      </c>
      <c r="C5" s="28">
        <f>IF(manip_aviation!C36=":",NA(),manip_aviation!C36)</f>
        <v>5.9184399999999995</v>
      </c>
      <c r="D5" s="28">
        <f>IF(manip_aviation!D36=":",NA(),manip_aviation!D36)</f>
        <v>2.13368</v>
      </c>
      <c r="E5" s="28">
        <f>IF(manip_aviation!E36=":",NA(),manip_aviation!E36)</f>
        <v>31.24315</v>
      </c>
      <c r="F5" s="28">
        <f>IF(manip_aviation!F36=":",NA(),manip_aviation!F36)</f>
        <v>3.898077</v>
      </c>
      <c r="G5" s="28">
        <f>IF(manip_aviation!G36=":",NA(),manip_aviation!G36)</f>
        <v>10.752609000000001</v>
      </c>
      <c r="H5" s="28">
        <f>IF(manip_aviation!H36=":",NA(),manip_aviation!H36)</f>
        <v>27.541086000000004</v>
      </c>
      <c r="I5" s="28">
        <f>IF(manip_aviation!I36=":",NA(),manip_aviation!I36)</f>
        <v>2.3893969999999998</v>
      </c>
      <c r="J5" s="28">
        <f>IF(manip_aviation!J36=":",NA(),manip_aviation!J36)</f>
        <v>12.307532000000002</v>
      </c>
      <c r="K5" s="28">
        <f>IF(manip_aviation!K36=":",NA(),manip_aviation!K36)</f>
        <v>0</v>
      </c>
      <c r="L5" s="28">
        <f>IF(manip_aviation!L36=":",NA(),manip_aviation!L36)</f>
        <v>23.628102</v>
      </c>
      <c r="M5" s="28">
        <f>IF(manip_aviation!M36=":",NA(),manip_aviation!M36)</f>
        <v>1.104636</v>
      </c>
      <c r="N5" s="28">
        <f>IF(manip_aviation!N36=":",NA(),manip_aviation!N36)</f>
        <v>3.62157</v>
      </c>
      <c r="O5" s="28">
        <f>IF(manip_aviation!O36=":",NA(),manip_aviation!O36)</f>
        <v>2.0067220000000003</v>
      </c>
      <c r="P5" s="28">
        <f>IF(manip_aviation!P36=":",NA(),manip_aviation!P36)</f>
        <v>5.3342</v>
      </c>
      <c r="Q5" s="28">
        <f>IF(manip_aviation!Q36=":",NA(),manip_aviation!Q36)</f>
        <v>52.616047</v>
      </c>
    </row>
    <row r="6" spans="1:17" ht="11.25">
      <c r="A6" s="107">
        <v>1991</v>
      </c>
      <c r="B6" s="28">
        <f>IF(manip_aviation!B37=":",NA(),manip_aviation!B37)</f>
        <v>175.422487</v>
      </c>
      <c r="C6" s="28">
        <f>IF(manip_aviation!C37=":",NA(),manip_aviation!C37)</f>
        <v>4.541505999999999</v>
      </c>
      <c r="D6" s="28">
        <f>IF(manip_aviation!D37=":",NA(),manip_aviation!D37)</f>
        <v>1.9895248571428574</v>
      </c>
      <c r="E6" s="28">
        <f>IF(manip_aviation!E37=":",NA(),manip_aviation!E37)</f>
        <v>30.543105</v>
      </c>
      <c r="F6" s="28">
        <f>IF(manip_aviation!F37=":",NA(),manip_aviation!F37)</f>
        <v>3.045071</v>
      </c>
      <c r="G6" s="28">
        <f>IF(manip_aviation!G37=":",NA(),manip_aviation!G37)</f>
        <v>10.172732</v>
      </c>
      <c r="H6" s="28">
        <f>IF(manip_aviation!H37=":",NA(),manip_aviation!H37)</f>
        <v>25.634446999999998</v>
      </c>
      <c r="I6" s="28">
        <f>IF(manip_aviation!I37=":",NA(),manip_aviation!I37)</f>
        <v>1.927484</v>
      </c>
      <c r="J6" s="28">
        <f>IF(manip_aviation!J37=":",NA(),manip_aviation!J37)</f>
        <v>11.518479</v>
      </c>
      <c r="K6" s="28">
        <f>IF(manip_aviation!K37=":",NA(),manip_aviation!K37)</f>
        <v>0</v>
      </c>
      <c r="L6" s="28">
        <f>IF(manip_aviation!L37=":",NA(),manip_aviation!L37)</f>
        <v>24.479373</v>
      </c>
      <c r="M6" s="28">
        <f>IF(manip_aviation!M37=":",NA(),manip_aviation!M37)</f>
        <v>1.0799820000000002</v>
      </c>
      <c r="N6" s="28">
        <f>IF(manip_aviation!N37=":",NA(),manip_aviation!N37)</f>
        <v>3.592277</v>
      </c>
      <c r="O6" s="28">
        <f>IF(manip_aviation!O37=":",NA(),manip_aviation!O37)</f>
        <v>2.1203729999999994</v>
      </c>
      <c r="P6" s="28">
        <f>IF(manip_aviation!P37=":",NA(),manip_aviation!P37)</f>
        <v>4.973812142857143</v>
      </c>
      <c r="Q6" s="28">
        <f>IF(manip_aviation!Q37=":",NA(),manip_aviation!Q37)</f>
        <v>49.804321</v>
      </c>
    </row>
    <row r="7" spans="1:17" ht="11.25">
      <c r="A7" s="107">
        <v>1992</v>
      </c>
      <c r="B7" s="28">
        <f>IF(manip_aviation!B38=":",NA(),manip_aviation!B38)</f>
        <v>202.75198799999995</v>
      </c>
      <c r="C7" s="28">
        <f>IF(manip_aviation!C38=":",NA(),manip_aviation!C38)</f>
        <v>4.362112</v>
      </c>
      <c r="D7" s="28">
        <f>IF(manip_aviation!D38=":",NA(),manip_aviation!D38)</f>
        <v>1.9302119999999996</v>
      </c>
      <c r="E7" s="28">
        <f>IF(manip_aviation!E38=":",NA(),manip_aviation!E38)</f>
        <v>34.838347999999996</v>
      </c>
      <c r="F7" s="28">
        <f>IF(manip_aviation!F38=":",NA(),manip_aviation!F38)</f>
        <v>3.678165</v>
      </c>
      <c r="G7" s="28">
        <f>IF(manip_aviation!G38=":",NA(),manip_aviation!G38)</f>
        <v>12.351497</v>
      </c>
      <c r="H7" s="28">
        <f>IF(manip_aviation!H38=":",NA(),manip_aviation!H38)</f>
        <v>29.882017</v>
      </c>
      <c r="I7" s="28">
        <f>IF(manip_aviation!I38=":",NA(),manip_aviation!I38)</f>
        <v>2.151484</v>
      </c>
      <c r="J7" s="28">
        <f>IF(manip_aviation!J38=":",NA(),manip_aviation!J38)</f>
        <v>15.967251999999998</v>
      </c>
      <c r="K7" s="28">
        <f>IF(manip_aviation!K38=":",NA(),manip_aviation!K38)</f>
        <v>0</v>
      </c>
      <c r="L7" s="28">
        <f>IF(manip_aviation!L38=":",NA(),manip_aviation!L38)</f>
        <v>28.294817</v>
      </c>
      <c r="M7" s="28">
        <f>IF(manip_aviation!M38=":",NA(),manip_aviation!M38)</f>
        <v>1.6732040000000001</v>
      </c>
      <c r="N7" s="28">
        <f>IF(manip_aviation!N38=":",NA(),manip_aviation!N38)</f>
        <v>3.954844</v>
      </c>
      <c r="O7" s="28">
        <f>IF(manip_aviation!O38=":",NA(),manip_aviation!O38)</f>
        <v>2.026518</v>
      </c>
      <c r="P7" s="28">
        <f>IF(manip_aviation!P38=":",NA(),manip_aviation!P38)</f>
        <v>4.82553</v>
      </c>
      <c r="Q7" s="28">
        <f>IF(manip_aviation!Q38=":",NA(),manip_aviation!Q38)</f>
        <v>56.815988</v>
      </c>
    </row>
    <row r="8" spans="1:17" ht="11.25">
      <c r="A8" s="107">
        <v>1993</v>
      </c>
      <c r="B8" s="28">
        <f>IF(manip_aviation!B39=":",NA(),manip_aviation!B39)</f>
        <v>219.10684299999994</v>
      </c>
      <c r="C8" s="28">
        <f>IF(manip_aviation!C39=":",NA(),manip_aviation!C39)</f>
        <v>4.250964</v>
      </c>
      <c r="D8" s="28">
        <f>IF(manip_aviation!D39=":",NA(),manip_aviation!D39)</f>
        <v>2.0706085714285716</v>
      </c>
      <c r="E8" s="28">
        <f>IF(manip_aviation!E39=":",NA(),manip_aviation!E39)</f>
        <v>37.791074</v>
      </c>
      <c r="F8" s="28">
        <f>IF(manip_aviation!F39=":",NA(),manip_aviation!F39)</f>
        <v>4.253113</v>
      </c>
      <c r="G8" s="28">
        <f>IF(manip_aviation!G39=":",NA(),manip_aviation!G39)</f>
        <v>12.319837999999999</v>
      </c>
      <c r="H8" s="28">
        <f>IF(manip_aviation!H39=":",NA(),manip_aviation!H39)</f>
        <v>30.659629000000006</v>
      </c>
      <c r="I8" s="28">
        <f>IF(manip_aviation!I39=":",NA(),manip_aviation!I39)</f>
        <v>2.046299</v>
      </c>
      <c r="J8" s="28">
        <f>IF(manip_aviation!J39=":",NA(),manip_aviation!J39)</f>
        <v>17.006145</v>
      </c>
      <c r="K8" s="28">
        <f>IF(manip_aviation!K39=":",NA(),manip_aviation!K39)</f>
        <v>0</v>
      </c>
      <c r="L8" s="28">
        <f>IF(manip_aviation!L39=":",NA(),manip_aviation!L39)</f>
        <v>32.735321</v>
      </c>
      <c r="M8" s="28">
        <f>IF(manip_aviation!M39=":",NA(),manip_aviation!M39)</f>
        <v>1.7692809999999999</v>
      </c>
      <c r="N8" s="28">
        <f>IF(manip_aviation!N39=":",NA(),manip_aviation!N39)</f>
        <v>3.9792769999999997</v>
      </c>
      <c r="O8" s="28">
        <f>IF(manip_aviation!O39=":",NA(),manip_aviation!O39)</f>
        <v>2.65842</v>
      </c>
      <c r="P8" s="28">
        <f>IF(manip_aviation!P39=":",NA(),manip_aviation!P39)</f>
        <v>5.17652142857143</v>
      </c>
      <c r="Q8" s="28">
        <f>IF(manip_aviation!Q39=":",NA(),manip_aviation!Q39)</f>
        <v>62.390352</v>
      </c>
    </row>
    <row r="9" spans="1:17" ht="11.25">
      <c r="A9" s="107">
        <v>1994</v>
      </c>
      <c r="B9" s="28">
        <f>IF(manip_aviation!B40=":",NA(),manip_aviation!B40)</f>
        <v>238.2322080000001</v>
      </c>
      <c r="C9" s="28">
        <f>IF(manip_aviation!C40=":",NA(),manip_aviation!C40)</f>
        <v>4.869597</v>
      </c>
      <c r="D9" s="28">
        <f>IF(manip_aviation!D40=":",NA(),manip_aviation!D40)</f>
        <v>2.0952005714285704</v>
      </c>
      <c r="E9" s="28">
        <f>IF(manip_aviation!E40=":",NA(),manip_aviation!E40)</f>
        <v>40.864105</v>
      </c>
      <c r="F9" s="28">
        <f>IF(manip_aviation!F40=":",NA(),manip_aviation!F40)</f>
        <v>4.397261</v>
      </c>
      <c r="G9" s="28">
        <f>IF(manip_aviation!G40=":",NA(),manip_aviation!G40)</f>
        <v>12.321212000000001</v>
      </c>
      <c r="H9" s="28">
        <f>IF(manip_aviation!H40=":",NA(),manip_aviation!H40)</f>
        <v>35.817859</v>
      </c>
      <c r="I9" s="28">
        <f>IF(manip_aviation!I40=":",NA(),manip_aviation!I40)</f>
        <v>2.5658220000000003</v>
      </c>
      <c r="J9" s="28">
        <f>IF(manip_aviation!J40=":",NA(),manip_aviation!J40)</f>
        <v>18.233621</v>
      </c>
      <c r="K9" s="28">
        <f>IF(manip_aviation!K40=":",NA(),manip_aviation!K40)</f>
        <v>0</v>
      </c>
      <c r="L9" s="28">
        <f>IF(manip_aviation!L40=":",NA(),manip_aviation!L40)</f>
        <v>35.86259</v>
      </c>
      <c r="M9" s="28">
        <f>IF(manip_aviation!M40=":",NA(),manip_aviation!M40)</f>
        <v>1.8550290000000003</v>
      </c>
      <c r="N9" s="28">
        <f>IF(manip_aviation!N40=":",NA(),manip_aviation!N40)</f>
        <v>3.80373</v>
      </c>
      <c r="O9" s="28">
        <f>IF(manip_aviation!O40=":",NA(),manip_aviation!O40)</f>
        <v>2.9929570000000005</v>
      </c>
      <c r="P9" s="28">
        <f>IF(manip_aviation!P40=":",NA(),manip_aviation!P40)</f>
        <v>5.23800142857143</v>
      </c>
      <c r="Q9" s="28">
        <f>IF(manip_aviation!Q40=":",NA(),manip_aviation!Q40)</f>
        <v>67.315223</v>
      </c>
    </row>
    <row r="10" spans="1:17" ht="11.25">
      <c r="A10" s="107">
        <v>1995</v>
      </c>
      <c r="B10" s="28">
        <f>IF(manip_aviation!B41=":",NA(),manip_aviation!B41)</f>
        <v>262.98784500000005</v>
      </c>
      <c r="C10" s="28">
        <f>IF(manip_aviation!C41=":",NA(),manip_aviation!C41)</f>
        <v>5.436604999999999</v>
      </c>
      <c r="D10" s="28">
        <f>IF(manip_aviation!D41=":",NA(),manip_aviation!D41)</f>
        <v>2.075572571428571</v>
      </c>
      <c r="E10" s="28">
        <f>IF(manip_aviation!E41=":",NA(),manip_aviation!E41)</f>
        <v>44.506431000000006</v>
      </c>
      <c r="F10" s="28">
        <f>IF(manip_aviation!F41=":",NA(),manip_aviation!F41)</f>
        <v>3.885516</v>
      </c>
      <c r="G10" s="28">
        <f>IF(manip_aviation!G41=":",NA(),manip_aviation!G41)</f>
        <v>13.278688000000002</v>
      </c>
      <c r="H10" s="28">
        <f>IF(manip_aviation!H41=":",NA(),manip_aviation!H41)</f>
        <v>43.223446</v>
      </c>
      <c r="I10" s="28">
        <f>IF(manip_aviation!I41=":",NA(),manip_aviation!I41)</f>
        <v>2.764114</v>
      </c>
      <c r="J10" s="28">
        <f>IF(manip_aviation!J41=":",NA(),manip_aviation!J41)</f>
        <v>19.472062</v>
      </c>
      <c r="K10" s="28">
        <f>IF(manip_aviation!K41=":",NA(),manip_aviation!K41)</f>
        <v>0</v>
      </c>
      <c r="L10" s="28">
        <f>IF(manip_aviation!L41=":",NA(),manip_aviation!L41)</f>
        <v>39.332082</v>
      </c>
      <c r="M10" s="28">
        <f>IF(manip_aviation!M41=":",NA(),manip_aviation!M41)</f>
        <v>2.7957040000000006</v>
      </c>
      <c r="N10" s="28">
        <f>IF(manip_aviation!N41=":",NA(),manip_aviation!N41)</f>
        <v>3.648868</v>
      </c>
      <c r="O10" s="28">
        <f>IF(manip_aviation!O41=":",NA(),manip_aviation!O41)</f>
        <v>3.2934040000000007</v>
      </c>
      <c r="P10" s="28">
        <f>IF(manip_aviation!P41=":",NA(),manip_aviation!P41)</f>
        <v>5.188931428571429</v>
      </c>
      <c r="Q10" s="28">
        <f>IF(manip_aviation!Q41=":",NA(),manip_aviation!Q41)</f>
        <v>74.086421</v>
      </c>
    </row>
    <row r="11" spans="1:17" ht="11.25">
      <c r="A11" s="107">
        <v>1996</v>
      </c>
      <c r="B11" s="28">
        <f>IF(manip_aviation!B42=":",NA(),manip_aviation!B42)</f>
        <v>285.03146100000004</v>
      </c>
      <c r="C11" s="28">
        <f>IF(manip_aviation!C42=":",NA(),manip_aviation!C42)</f>
        <v>5.698929</v>
      </c>
      <c r="D11" s="28">
        <f>IF(manip_aviation!D42=":",NA(),manip_aviation!D42)</f>
        <v>2.1742285714285714</v>
      </c>
      <c r="E11" s="28">
        <f>IF(manip_aviation!E42=":",NA(),manip_aviation!E42)</f>
        <v>45.667612</v>
      </c>
      <c r="F11" s="28">
        <f>IF(manip_aviation!F42=":",NA(),manip_aviation!F42)</f>
        <v>4.2773699999999995</v>
      </c>
      <c r="G11" s="28">
        <f>IF(manip_aviation!G42=":",NA(),manip_aviation!G42)</f>
        <v>14.304535999999999</v>
      </c>
      <c r="H11" s="28">
        <f>IF(manip_aviation!H42=":",NA(),manip_aviation!H42)</f>
        <v>50.449117</v>
      </c>
      <c r="I11" s="28">
        <f>IF(manip_aviation!I42=":",NA(),manip_aviation!I42)</f>
        <v>3.080419</v>
      </c>
      <c r="J11" s="28">
        <f>IF(manip_aviation!J42=":",NA(),manip_aviation!J42)</f>
        <v>20.449099</v>
      </c>
      <c r="K11" s="28">
        <f>IF(manip_aviation!K42=":",NA(),manip_aviation!K42)</f>
        <v>0</v>
      </c>
      <c r="L11" s="28">
        <f>IF(manip_aviation!L42=":",NA(),manip_aviation!L42)</f>
        <v>43.269956</v>
      </c>
      <c r="M11" s="28">
        <f>IF(manip_aviation!M42=":",NA(),manip_aviation!M42)</f>
        <v>3.323594</v>
      </c>
      <c r="N11" s="28">
        <f>IF(manip_aviation!N42=":",NA(),manip_aviation!N42)</f>
        <v>3.721955</v>
      </c>
      <c r="O11" s="28">
        <f>IF(manip_aviation!O42=":",NA(),manip_aviation!O42)</f>
        <v>3.295375</v>
      </c>
      <c r="P11" s="28">
        <f>IF(manip_aviation!P42=":",NA(),manip_aviation!P42)</f>
        <v>5.435571428571429</v>
      </c>
      <c r="Q11" s="28">
        <f>IF(manip_aviation!Q42=":",NA(),manip_aviation!Q42)</f>
        <v>79.883699</v>
      </c>
    </row>
    <row r="12" spans="1:17" ht="11.25">
      <c r="A12" s="107">
        <v>1997</v>
      </c>
      <c r="B12" s="28">
        <f>IF(manip_aviation!B43=":",NA(),manip_aviation!B43)</f>
        <v>312.0472150000001</v>
      </c>
      <c r="C12" s="28">
        <f>IF(manip_aviation!C43=":",NA(),manip_aviation!C43)</f>
        <v>6.74954</v>
      </c>
      <c r="D12" s="28">
        <f>IF(manip_aviation!D43=":",NA(),manip_aviation!D43)</f>
        <v>2.1958345714285707</v>
      </c>
      <c r="E12" s="28">
        <f>IF(manip_aviation!E43=":",NA(),manip_aviation!E43)</f>
        <v>52.511329</v>
      </c>
      <c r="F12" s="28">
        <f>IF(manip_aviation!F43=":",NA(),manip_aviation!F43)</f>
        <v>4.4898039999999995</v>
      </c>
      <c r="G12" s="28">
        <f>IF(manip_aviation!G43=":",NA(),manip_aviation!G43)</f>
        <v>15.269544999999999</v>
      </c>
      <c r="H12" s="28">
        <f>IF(manip_aviation!H43=":",NA(),manip_aviation!H43)</f>
        <v>53.54011200000001</v>
      </c>
      <c r="I12" s="28">
        <f>IF(manip_aviation!I43=":",NA(),manip_aviation!I43)</f>
        <v>3.635869</v>
      </c>
      <c r="J12" s="28">
        <f>IF(manip_aviation!J43=":",NA(),manip_aviation!J43)</f>
        <v>21.046912</v>
      </c>
      <c r="K12" s="28">
        <f>IF(manip_aviation!K43=":",NA(),manip_aviation!K43)</f>
        <v>0</v>
      </c>
      <c r="L12" s="28">
        <f>IF(manip_aviation!L43=":",NA(),manip_aviation!L43)</f>
        <v>48.870565</v>
      </c>
      <c r="M12" s="28">
        <f>IF(manip_aviation!M43=":",NA(),manip_aviation!M43)</f>
        <v>4.043127999999999</v>
      </c>
      <c r="N12" s="28">
        <f>IF(manip_aviation!N43=":",NA(),manip_aviation!N43)</f>
        <v>4.213915999999999</v>
      </c>
      <c r="O12" s="28">
        <f>IF(manip_aviation!O43=":",NA(),manip_aviation!O43)</f>
        <v>3.40469</v>
      </c>
      <c r="P12" s="28">
        <f>IF(manip_aviation!P43=":",NA(),manip_aviation!P43)</f>
        <v>5.489586428571429</v>
      </c>
      <c r="Q12" s="28">
        <f>IF(manip_aviation!Q43=":",NA(),manip_aviation!Q43)</f>
        <v>86.586384</v>
      </c>
    </row>
    <row r="13" spans="1:17" ht="11.25">
      <c r="A13" s="107">
        <v>1998</v>
      </c>
      <c r="B13" s="28">
        <f>IF(manip_aviation!B44=":",NA(),manip_aviation!B44)</f>
        <v>333.727255</v>
      </c>
      <c r="C13" s="28">
        <f>IF(manip_aviation!C44=":",NA(),manip_aviation!C44)</f>
        <v>9.662182000000001</v>
      </c>
      <c r="D13" s="28">
        <f>IF(manip_aviation!D44=":",NA(),manip_aviation!D44)</f>
        <v>2.194656</v>
      </c>
      <c r="E13" s="28">
        <f>IF(manip_aviation!E44=":",NA(),manip_aviation!E44)</f>
        <v>54.596273000000004</v>
      </c>
      <c r="F13" s="28">
        <f>IF(manip_aviation!F44=":",NA(),manip_aviation!F44)</f>
        <v>4.186856000000001</v>
      </c>
      <c r="G13" s="28">
        <f>IF(manip_aviation!G44=":",NA(),manip_aviation!G44)</f>
        <v>16.383273</v>
      </c>
      <c r="H13" s="28">
        <f>IF(manip_aviation!H44=":",NA(),manip_aviation!H44)</f>
        <v>57.87044</v>
      </c>
      <c r="I13" s="28">
        <f>IF(manip_aviation!I44=":",NA(),manip_aviation!I44)</f>
        <v>3.984234</v>
      </c>
      <c r="J13" s="28">
        <f>IF(manip_aviation!J44=":",NA(),manip_aviation!J44)</f>
        <v>21.018613</v>
      </c>
      <c r="K13" s="28">
        <f>IF(manip_aviation!K44=":",NA(),manip_aviation!K44)</f>
        <v>0</v>
      </c>
      <c r="L13" s="28">
        <f>IF(manip_aviation!L44=":",NA(),manip_aviation!L44)</f>
        <v>50.294667000000004</v>
      </c>
      <c r="M13" s="28">
        <f>IF(manip_aviation!M44=":",NA(),manip_aviation!M44)</f>
        <v>4.839092000000001</v>
      </c>
      <c r="N13" s="28">
        <f>IF(manip_aviation!N44=":",NA(),manip_aviation!N44)</f>
        <v>4.493335999999999</v>
      </c>
      <c r="O13" s="28">
        <f>IF(manip_aviation!O44=":",NA(),manip_aviation!O44)</f>
        <v>3.509353000000001</v>
      </c>
      <c r="P13" s="28">
        <f>IF(manip_aviation!P44=":",NA(),manip_aviation!P44)</f>
        <v>5.48664</v>
      </c>
      <c r="Q13" s="28">
        <f>IF(manip_aviation!Q44=":",NA(),manip_aviation!Q44)</f>
        <v>95.20764</v>
      </c>
    </row>
    <row r="14" spans="1:17" ht="11.25">
      <c r="A14" s="107">
        <v>1999</v>
      </c>
      <c r="B14" s="28">
        <f>IF(manip_aviation!B45=":",NA(),manip_aviation!B45)</f>
        <v>360.95281</v>
      </c>
      <c r="C14" s="28">
        <f>IF(manip_aviation!C45=":",NA(),manip_aviation!C45)</f>
        <v>11.179742000000003</v>
      </c>
      <c r="D14" s="28">
        <f>IF(manip_aviation!D45=":",NA(),manip_aviation!D45)</f>
        <v>2.2407805714285716</v>
      </c>
      <c r="E14" s="28">
        <f>IF(manip_aviation!E45=":",NA(),manip_aviation!E45)</f>
        <v>63.77197199999999</v>
      </c>
      <c r="F14" s="28">
        <f>IF(manip_aviation!F45=":",NA(),manip_aviation!F45)</f>
        <v>3.9873889999999994</v>
      </c>
      <c r="G14" s="28">
        <f>IF(manip_aviation!G45=":",NA(),manip_aviation!G45)</f>
        <v>19.890818</v>
      </c>
      <c r="H14" s="28">
        <f>IF(manip_aviation!H45=":",NA(),manip_aviation!H45)</f>
        <v>65.217028</v>
      </c>
      <c r="I14" s="28">
        <f>IF(manip_aviation!I45=":",NA(),manip_aviation!I45)</f>
        <v>4.779140999999999</v>
      </c>
      <c r="J14" s="28">
        <f>IF(manip_aviation!J45=":",NA(),manip_aviation!J45)</f>
        <v>22.367009</v>
      </c>
      <c r="K14" s="28">
        <f>IF(manip_aviation!K45=":",NA(),manip_aviation!K45)</f>
        <v>0.18610699999999997</v>
      </c>
      <c r="L14" s="28">
        <f>IF(manip_aviation!L45=":",NA(),manip_aviation!L45)</f>
        <v>50.666762999999996</v>
      </c>
      <c r="M14" s="28">
        <f>IF(manip_aviation!M45=":",NA(),manip_aviation!M45)</f>
        <v>5.539680000000001</v>
      </c>
      <c r="N14" s="28">
        <f>IF(manip_aviation!N45=":",NA(),manip_aviation!N45)</f>
        <v>4.634593000000001</v>
      </c>
      <c r="O14" s="28">
        <f>IF(manip_aviation!O45=":",NA(),manip_aviation!O45)</f>
        <v>3.168808999999999</v>
      </c>
      <c r="P14" s="28">
        <f>IF(manip_aviation!P45=":",NA(),manip_aviation!P45)</f>
        <v>5.601951428571429</v>
      </c>
      <c r="Q14" s="28">
        <f>IF(manip_aviation!Q45=":",NA(),manip_aviation!Q45)</f>
        <v>97.721027</v>
      </c>
    </row>
    <row r="15" spans="1:17" ht="11.25">
      <c r="A15" s="107">
        <v>2000</v>
      </c>
      <c r="B15" s="28">
        <f>IF(manip_aviation!B46=":",NA(),manip_aviation!B46)</f>
        <v>386.125922</v>
      </c>
      <c r="C15" s="28">
        <f>IF(manip_aviation!C46=":",NA(),manip_aviation!C46)</f>
        <v>12.153214999999998</v>
      </c>
      <c r="D15" s="28">
        <f>IF(manip_aviation!D46=":",NA(),manip_aviation!D46)</f>
        <v>2.3916031428571434</v>
      </c>
      <c r="E15" s="28">
        <f>IF(manip_aviation!E46=":",NA(),manip_aviation!E46)</f>
        <v>69.984206</v>
      </c>
      <c r="F15" s="28">
        <f>IF(manip_aviation!F46=":",NA(),manip_aviation!F46)</f>
        <v>4.049117</v>
      </c>
      <c r="G15" s="28">
        <f>IF(manip_aviation!G46=":",NA(),manip_aviation!G46)</f>
        <v>23.345264999999998</v>
      </c>
      <c r="H15" s="28">
        <f>IF(manip_aviation!H46=":",NA(),manip_aviation!H46)</f>
        <v>72.11919799999998</v>
      </c>
      <c r="I15" s="28">
        <f>IF(manip_aviation!I46=":",NA(),manip_aviation!I46)</f>
        <v>5.929194</v>
      </c>
      <c r="J15" s="28">
        <f>IF(manip_aviation!J46=":",NA(),manip_aviation!J46)</f>
        <v>25.637677999999998</v>
      </c>
      <c r="K15" s="28">
        <f>IF(manip_aviation!K46=":",NA(),manip_aviation!K46)</f>
        <v>0</v>
      </c>
      <c r="L15" s="28">
        <f>IF(manip_aviation!L46=":",NA(),manip_aviation!L46)</f>
        <v>52.186489</v>
      </c>
      <c r="M15" s="28">
        <f>IF(manip_aviation!M46=":",NA(),manip_aviation!M46)</f>
        <v>6.365083</v>
      </c>
      <c r="N15" s="28">
        <f>IF(manip_aviation!N46=":",NA(),manip_aviation!N46)</f>
        <v>5.1986040000000004</v>
      </c>
      <c r="O15" s="28">
        <f>IF(manip_aviation!O46=":",NA(),manip_aviation!O46)</f>
        <v>2.725727</v>
      </c>
      <c r="P15" s="28">
        <f>IF(manip_aviation!P46=":",NA(),manip_aviation!P46)</f>
        <v>5.979007857142856</v>
      </c>
      <c r="Q15" s="28">
        <f>IF(manip_aviation!Q46=":",NA(),manip_aviation!Q46)</f>
        <v>98.061535</v>
      </c>
    </row>
    <row r="16" spans="1:17" ht="11.25">
      <c r="A16" s="107">
        <v>2001</v>
      </c>
      <c r="B16" s="28" t="e">
        <f>IF(manip_aviation!B47=":",NA(),manip_aviation!B47)</f>
        <v>#N/A</v>
      </c>
      <c r="C16" s="28" t="e">
        <f>IF(manip_aviation!C47=":",NA(),manip_aviation!C47)</f>
        <v>#N/A</v>
      </c>
      <c r="D16" s="28" t="e">
        <f>IF(manip_aviation!D47=":",NA(),manip_aviation!D47)</f>
        <v>#N/A</v>
      </c>
      <c r="E16" s="28" t="e">
        <f>IF(manip_aviation!E47=":",NA(),manip_aviation!E47)</f>
        <v>#N/A</v>
      </c>
      <c r="F16" s="28" t="e">
        <f>IF(manip_aviation!F47=":",NA(),manip_aviation!F47)</f>
        <v>#N/A</v>
      </c>
      <c r="G16" s="28" t="e">
        <f>IF(manip_aviation!G47=":",NA(),manip_aviation!G47)</f>
        <v>#N/A</v>
      </c>
      <c r="H16" s="28" t="e">
        <f>IF(manip_aviation!H47=":",NA(),manip_aviation!H47)</f>
        <v>#N/A</v>
      </c>
      <c r="I16" s="28" t="e">
        <f>IF(manip_aviation!I47=":",NA(),manip_aviation!I47)</f>
        <v>#N/A</v>
      </c>
      <c r="J16" s="28" t="e">
        <f>IF(manip_aviation!J47=":",NA(),manip_aviation!J47)</f>
        <v>#N/A</v>
      </c>
      <c r="K16" s="28" t="e">
        <f>IF(manip_aviation!K47=":",NA(),manip_aviation!K47)</f>
        <v>#N/A</v>
      </c>
      <c r="L16" s="28" t="e">
        <f>IF(manip_aviation!L47=":",NA(),manip_aviation!L47)</f>
        <v>#N/A</v>
      </c>
      <c r="M16" s="28" t="e">
        <f>IF(manip_aviation!M47=":",NA(),manip_aviation!M47)</f>
        <v>#N/A</v>
      </c>
      <c r="N16" s="28" t="e">
        <f>IF(manip_aviation!N47=":",NA(),manip_aviation!N47)</f>
        <v>#N/A</v>
      </c>
      <c r="O16" s="28" t="e">
        <f>IF(manip_aviation!O47=":",NA(),manip_aviation!O47)</f>
        <v>#N/A</v>
      </c>
      <c r="P16" s="28" t="e">
        <f>IF(manip_aviation!P47=":",NA(),manip_aviation!P47)</f>
        <v>#N/A</v>
      </c>
      <c r="Q16" s="28" t="e">
        <f>IF(manip_aviation!Q47=":",NA(),manip_aviation!Q47)</f>
        <v>#N/A</v>
      </c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1.25">
      <c r="A28" s="6" t="s">
        <v>51</v>
      </c>
      <c r="B28" s="30" t="s">
        <v>117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2" ht="11.25">
      <c r="A29" s="6" t="s">
        <v>57</v>
      </c>
      <c r="B29" s="3" t="s">
        <v>137</v>
      </c>
    </row>
    <row r="30" ht="11.25">
      <c r="B30" s="3"/>
    </row>
    <row r="32" ht="11.25">
      <c r="A32" s="2"/>
    </row>
    <row r="33" ht="11.25">
      <c r="A33" s="2"/>
    </row>
    <row r="34" ht="11.25">
      <c r="A34" s="2" t="s">
        <v>106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>
        <f>+B5/'[6]manip_POP_EU'!B6*1000000</f>
        <v>506.0781635225924</v>
      </c>
      <c r="C38" s="13">
        <f>+C5/'[6]manip_POP_EU'!C6*1000000</f>
        <v>593.7797218933723</v>
      </c>
      <c r="D38" s="13">
        <f>+D5/'[6]manip_POP_EU'!D6*1000000</f>
        <v>415.11284046692606</v>
      </c>
      <c r="E38" s="13">
        <f>+E5/'[6]manip_POP_EU'!E6*1000000</f>
        <v>393.32708068435034</v>
      </c>
      <c r="F38" s="13">
        <f>+F5/'[6]manip_POP_EU'!F6*1000000</f>
        <v>383.6312370829643</v>
      </c>
      <c r="G38" s="13">
        <f>+G5/'[6]manip_POP_EU'!G6*1000000</f>
        <v>276.8722062004326</v>
      </c>
      <c r="H38" s="13">
        <f>+H5/'[6]manip_POP_EU'!H6*1000000</f>
        <v>485.433788666608</v>
      </c>
      <c r="I38" s="13">
        <f>+I5/'[6]manip_POP_EU'!I6*1000000</f>
        <v>681.555422442809</v>
      </c>
      <c r="J38" s="13">
        <f>+J5/'[6]manip_POP_EU'!J6*1000000</f>
        <v>216.99134328884503</v>
      </c>
      <c r="K38" s="13">
        <f>+K5/'[6]manip_POP_EU'!K6*1000000</f>
        <v>0</v>
      </c>
      <c r="L38" s="13">
        <f>+L5/'[6]manip_POP_EU'!L6*1000000</f>
        <v>1580.263643659711</v>
      </c>
      <c r="M38" s="13">
        <f>+M5/'[6]manip_POP_EU'!M6*1000000</f>
        <v>142.9819951590147</v>
      </c>
      <c r="N38" s="13">
        <f>+N5/'[6]manip_POP_EU'!N6*1000000</f>
        <v>365.96301535974135</v>
      </c>
      <c r="O38" s="13">
        <f>+O5/'[6]manip_POP_EU'!O6*1000000</f>
        <v>402.4713196951465</v>
      </c>
      <c r="P38" s="13">
        <f>+P5/'[6]manip_POP_EU'!P6*1000000</f>
        <v>623.2270125014604</v>
      </c>
      <c r="Q38" s="13">
        <f>+Q5/'[6]manip_POP_EU'!Q6*1000000</f>
        <v>914.0919546220532</v>
      </c>
    </row>
    <row r="39" spans="1:17" ht="11.25">
      <c r="A39" s="53">
        <v>1991</v>
      </c>
      <c r="B39" s="13">
        <f>+B6/'[6]manip_POP_EU'!B7*1000000</f>
        <v>479.0593698036298</v>
      </c>
      <c r="C39" s="13">
        <f>+C6/'[6]manip_POP_EU'!C7*1000000</f>
        <v>453.94632415413054</v>
      </c>
      <c r="D39" s="13">
        <f>+D6/'[6]manip_POP_EU'!D7*1000000</f>
        <v>386.01568823105504</v>
      </c>
      <c r="E39" s="13">
        <f>+E6/'[6]manip_POP_EU'!E7*1000000</f>
        <v>381.7220111480491</v>
      </c>
      <c r="F39" s="13">
        <f>+F6/'[6]manip_POP_EU'!F7*1000000</f>
        <v>297.16707328974337</v>
      </c>
      <c r="G39" s="13">
        <f>+G6/'[6]manip_POP_EU'!G7*1000000</f>
        <v>261.4023023949019</v>
      </c>
      <c r="H39" s="13">
        <f>+H6/'[6]manip_POP_EU'!H7*1000000</f>
        <v>449.90473432495276</v>
      </c>
      <c r="I39" s="13">
        <f>+I6/'[6]manip_POP_EU'!I7*1000000</f>
        <v>546.6954080040844</v>
      </c>
      <c r="J39" s="13">
        <f>+J6/'[6]manip_POP_EU'!J7*1000000</f>
        <v>202.96521647195644</v>
      </c>
      <c r="K39" s="13">
        <f>+K6/'[6]manip_POP_EU'!K7*1000000</f>
        <v>0</v>
      </c>
      <c r="L39" s="13">
        <f>+L6/'[6]manip_POP_EU'!L7*1000000</f>
        <v>1624.3777704047777</v>
      </c>
      <c r="M39" s="13">
        <f>+M6/'[6]manip_POP_EU'!M7*1000000</f>
        <v>138.00099669047654</v>
      </c>
      <c r="N39" s="13">
        <f>+N6/'[6]manip_POP_EU'!N7*1000000</f>
        <v>363.9960482318371</v>
      </c>
      <c r="O39" s="13">
        <f>+O6/'[6]manip_POP_EU'!O7*1000000</f>
        <v>422.8905065815715</v>
      </c>
      <c r="P39" s="13">
        <f>+P6/'[6]manip_POP_EU'!P7*1000000</f>
        <v>577.1824613986983</v>
      </c>
      <c r="Q39" s="13">
        <f>+Q6/'[6]manip_POP_EU'!Q7*1000000</f>
        <v>861.5472079988929</v>
      </c>
    </row>
    <row r="40" spans="1:17" ht="11.25">
      <c r="A40" s="53">
        <v>1992</v>
      </c>
      <c r="B40" s="13">
        <f>+B7/'[6]manip_POP_EU'!B8*1000000</f>
        <v>551.132761755594</v>
      </c>
      <c r="C40" s="13">
        <f>+C7/'[6]manip_POP_EU'!C8*1000000</f>
        <v>434.2570433051269</v>
      </c>
      <c r="D40" s="13">
        <f>+D7/'[6]manip_POP_EU'!D8*1000000</f>
        <v>373.3485493230173</v>
      </c>
      <c r="E40" s="13">
        <f>+E7/'[6]manip_POP_EU'!E8*1000000</f>
        <v>432.108900575511</v>
      </c>
      <c r="F40" s="13">
        <f>+F7/'[6]manip_POP_EU'!F8*1000000</f>
        <v>356.34227862817283</v>
      </c>
      <c r="G40" s="13">
        <f>+G7/'[6]manip_POP_EU'!G8*1000000</f>
        <v>316.6563349228324</v>
      </c>
      <c r="H40" s="13">
        <f>+H7/'[6]manip_POP_EU'!H8*1000000</f>
        <v>522.0268402911832</v>
      </c>
      <c r="I40" s="13">
        <f>+I7/'[6]manip_POP_EU'!I8*1000000</f>
        <v>606.2055168916063</v>
      </c>
      <c r="J40" s="13">
        <f>+J7/'[6]manip_POP_EU'!J8*1000000</f>
        <v>280.82189275224675</v>
      </c>
      <c r="K40" s="13">
        <f>+K7/'[6]manip_POP_EU'!K8*1000000</f>
        <v>0</v>
      </c>
      <c r="L40" s="13">
        <f>+L7/'[6]manip_POP_EU'!L8*1000000</f>
        <v>1864.1993016207668</v>
      </c>
      <c r="M40" s="13">
        <f>+M7/'[6]manip_POP_EU'!M8*1000000</f>
        <v>211.49278256692875</v>
      </c>
      <c r="N40" s="13">
        <f>+N7/'[6]manip_POP_EU'!N8*1000000</f>
        <v>400.8152427282862</v>
      </c>
      <c r="O40" s="13">
        <f>+O7/'[6]manip_POP_EU'!O8*1000000</f>
        <v>401.92740975803247</v>
      </c>
      <c r="P40" s="13">
        <f>+P7/'[6]manip_POP_EU'!P8*1000000</f>
        <v>556.7062759575449</v>
      </c>
      <c r="Q40" s="13">
        <f>+Q7/'[6]manip_POP_EU'!Q8*1000000</f>
        <v>979.4846739992415</v>
      </c>
    </row>
    <row r="41" spans="1:17" ht="11.25">
      <c r="A41" s="53">
        <v>1993</v>
      </c>
      <c r="B41" s="13">
        <f>+B8/'[6]manip_POP_EU'!B9*1000000</f>
        <v>592.9906499310139</v>
      </c>
      <c r="C41" s="13">
        <f>+C8/'[6]manip_POP_EU'!C9*1000000</f>
        <v>421.53443403242596</v>
      </c>
      <c r="D41" s="13">
        <f>+D8/'[6]manip_POP_EU'!D9*1000000</f>
        <v>399.03807504886714</v>
      </c>
      <c r="E41" s="13">
        <f>+E8/'[6]manip_POP_EU'!E9*1000000</f>
        <v>465.6596431563902</v>
      </c>
      <c r="F41" s="13">
        <f>+F8/'[6]manip_POP_EU'!F9*1000000</f>
        <v>409.8201002119869</v>
      </c>
      <c r="G41" s="13">
        <f>+G8/'[6]manip_POP_EU'!G9*1000000</f>
        <v>315.22242407184706</v>
      </c>
      <c r="H41" s="13">
        <f>+H8/'[6]manip_POP_EU'!H9*1000000</f>
        <v>533.4939228634321</v>
      </c>
      <c r="I41" s="13">
        <f>+I8/'[6]manip_POP_EU'!I9*1000000</f>
        <v>574.2707602503297</v>
      </c>
      <c r="J41" s="13">
        <f>+J8/'[6]manip_POP_EU'!J9*1000000</f>
        <v>298.0971620887307</v>
      </c>
      <c r="K41" s="13">
        <f>+K8/'[6]manip_POP_EU'!K9*1000000</f>
        <v>0</v>
      </c>
      <c r="L41" s="13">
        <f>+L8/'[6]manip_POP_EU'!L9*1000000</f>
        <v>2142.4901335811664</v>
      </c>
      <c r="M41" s="13">
        <f>+M8/'[6]manip_POP_EU'!M9*1000000</f>
        <v>221.47850034424485</v>
      </c>
      <c r="N41" s="13">
        <f>+N8/'[6]manip_POP_EU'!N9*1000000</f>
        <v>402.72006881894544</v>
      </c>
      <c r="O41" s="13">
        <f>+O8/'[6]manip_POP_EU'!O9*1000000</f>
        <v>524.7572048953809</v>
      </c>
      <c r="P41" s="13">
        <f>+P8/'[6]manip_POP_EU'!P9*1000000</f>
        <v>593.7331026278795</v>
      </c>
      <c r="Q41" s="13">
        <f>+Q8/'[6]manip_POP_EU'!Q9*1000000</f>
        <v>1072.1649739650463</v>
      </c>
    </row>
    <row r="42" spans="1:17" ht="11.25">
      <c r="A42" s="53">
        <v>1994</v>
      </c>
      <c r="B42" s="13">
        <f>+B9/'[6]manip_POP_EU'!B10*1000000</f>
        <v>642.5915022208625</v>
      </c>
      <c r="C42" s="13">
        <f>+C9/'[6]manip_POP_EU'!C10*1000000</f>
        <v>481.3947763849894</v>
      </c>
      <c r="D42" s="13">
        <f>+D9/'[6]manip_POP_EU'!D10*1000000</f>
        <v>402.53613283930264</v>
      </c>
      <c r="E42" s="13">
        <f>+E9/'[6]manip_POP_EU'!E10*1000000</f>
        <v>501.3016463025664</v>
      </c>
      <c r="F42" s="13">
        <f>+F9/'[6]manip_POP_EU'!F10*1000000</f>
        <v>421.7591597928257</v>
      </c>
      <c r="G42" s="13">
        <f>+G9/'[6]manip_POP_EU'!G10*1000000</f>
        <v>314.77434023963417</v>
      </c>
      <c r="H42" s="13">
        <f>+H9/'[6]manip_POP_EU'!H10*1000000</f>
        <v>621.1778284184165</v>
      </c>
      <c r="I42" s="13">
        <f>+I9/'[6]manip_POP_EU'!I10*1000000</f>
        <v>718.5767496569301</v>
      </c>
      <c r="J42" s="13">
        <f>+J9/'[6]manip_POP_EU'!J10*1000000</f>
        <v>319.21605392156863</v>
      </c>
      <c r="K42" s="13">
        <f>+K9/'[6]manip_POP_EU'!K10*1000000</f>
        <v>0</v>
      </c>
      <c r="L42" s="13">
        <f>+L9/'[6]manip_POP_EU'!L10*1000000</f>
        <v>2331.596573203659</v>
      </c>
      <c r="M42" s="13">
        <f>+M9/'[6]manip_POP_EU'!M10*1000000</f>
        <v>231.08427281220807</v>
      </c>
      <c r="N42" s="13">
        <f>+N9/'[6]manip_POP_EU'!N10*1000000</f>
        <v>384.137547970107</v>
      </c>
      <c r="O42" s="13">
        <f>+O9/'[6]manip_POP_EU'!O10*1000000</f>
        <v>588.1228139123601</v>
      </c>
      <c r="P42" s="13">
        <f>+P9/'[6]manip_POP_EU'!P10*1000000</f>
        <v>596.5357464178744</v>
      </c>
      <c r="Q42" s="13">
        <f>+Q9/'[6]manip_POP_EU'!Q10*1000000</f>
        <v>1152.7566229985446</v>
      </c>
    </row>
    <row r="43" spans="1:17" ht="11.25">
      <c r="A43" s="53">
        <v>1995</v>
      </c>
      <c r="B43" s="13">
        <f>+B10/'[6]manip_POP_EU'!B11*1000000</f>
        <v>707.501843490669</v>
      </c>
      <c r="C43" s="13">
        <f>+C10/'[6]manip_POP_EU'!C11*1000000</f>
        <v>536.3235932444164</v>
      </c>
      <c r="D43" s="13">
        <f>+D10/'[6]manip_POP_EU'!D11*1000000</f>
        <v>397.01082085473814</v>
      </c>
      <c r="E43" s="13">
        <f>+E10/'[6]manip_POP_EU'!E11*1000000</f>
        <v>545.1413610641582</v>
      </c>
      <c r="F43" s="13">
        <f>+F10/'[6]manip_POP_EU'!F11*1000000</f>
        <v>371.5352839931153</v>
      </c>
      <c r="G43" s="13">
        <f>+G10/'[6]manip_POP_EU'!G11*1000000</f>
        <v>338.65564906911504</v>
      </c>
      <c r="H43" s="13">
        <f>+H10/'[6]manip_POP_EU'!H11*1000000</f>
        <v>747.2416499550516</v>
      </c>
      <c r="I43" s="13">
        <f>+I10/'[6]manip_POP_EU'!I11*1000000</f>
        <v>767.3831204886175</v>
      </c>
      <c r="J43" s="13">
        <f>+J10/'[6]manip_POP_EU'!J11*1000000</f>
        <v>340.3968603594155</v>
      </c>
      <c r="K43" s="13">
        <f>+K10/'[6]manip_POP_EU'!K11*1000000</f>
        <v>0</v>
      </c>
      <c r="L43" s="13">
        <f>+L10/'[6]manip_POP_EU'!L11*1000000</f>
        <v>2544.1191461836997</v>
      </c>
      <c r="M43" s="13">
        <f>+M10/'[6]manip_POP_EU'!M11*1000000</f>
        <v>347.4218963588916</v>
      </c>
      <c r="N43" s="13">
        <f>+N10/'[6]manip_POP_EU'!N11*1000000</f>
        <v>367.57006144857456</v>
      </c>
      <c r="O43" s="13">
        <f>+O10/'[6]manip_POP_EU'!O11*1000000</f>
        <v>644.7541111981207</v>
      </c>
      <c r="P43" s="13">
        <f>+P10/'[6]manip_POP_EU'!P11*1000000</f>
        <v>587.5814096445962</v>
      </c>
      <c r="Q43" s="13">
        <f>+Q10/'[6]manip_POP_EU'!Q11*1000000</f>
        <v>1264.143961369143</v>
      </c>
    </row>
    <row r="44" spans="1:17" ht="11.25">
      <c r="A44" s="53">
        <v>1996</v>
      </c>
      <c r="B44" s="13">
        <f>+B11/'[6]manip_POP_EU'!B12*1000000</f>
        <v>764.5537012063379</v>
      </c>
      <c r="C44" s="13">
        <f>+C11/'[6]manip_POP_EU'!C12*1000000</f>
        <v>561.0838830363296</v>
      </c>
      <c r="D44" s="13">
        <f>+D11/'[6]manip_POP_EU'!D12*1000000</f>
        <v>413.1943313243199</v>
      </c>
      <c r="E44" s="13">
        <f>+E11/'[6]manip_POP_EU'!E12*1000000</f>
        <v>557.5204121496239</v>
      </c>
      <c r="F44" s="13">
        <f>+F11/'[6]manip_POP_EU'!F12*1000000</f>
        <v>408.3408114558472</v>
      </c>
      <c r="G44" s="13">
        <f>+G11/'[6]manip_POP_EU'!G12*1000000</f>
        <v>364.2453980856444</v>
      </c>
      <c r="H44" s="13">
        <f>+H11/'[6]manip_POP_EU'!H12*1000000</f>
        <v>869.4226208940819</v>
      </c>
      <c r="I44" s="13">
        <f>+I11/'[6]manip_POP_EU'!I12*1000000</f>
        <v>848.1329845814978</v>
      </c>
      <c r="J44" s="13">
        <f>+J11/'[6]manip_POP_EU'!J12*1000000</f>
        <v>356.3802544440572</v>
      </c>
      <c r="K44" s="13">
        <f>+K11/'[6]manip_POP_EU'!K12*1000000</f>
        <v>0</v>
      </c>
      <c r="L44" s="13">
        <f>+L11/'[6]manip_POP_EU'!L12*1000000</f>
        <v>2788.5516530257137</v>
      </c>
      <c r="M44" s="13">
        <f>+M11/'[6]manip_POP_EU'!M12*1000000</f>
        <v>412.38778617240257</v>
      </c>
      <c r="N44" s="13">
        <f>+N11/'[6]manip_POP_EU'!N12*1000000</f>
        <v>374.81923464249746</v>
      </c>
      <c r="O44" s="13">
        <f>+O11/'[6]manip_POP_EU'!O12*1000000</f>
        <v>643</v>
      </c>
      <c r="P44" s="13">
        <f>+P11/'[6]manip_POP_EU'!P12*1000000</f>
        <v>614.6750456373888</v>
      </c>
      <c r="Q44" s="13">
        <f>+Q11/'[6]manip_POP_EU'!Q12*1000000</f>
        <v>1358.5201013570966</v>
      </c>
    </row>
    <row r="45" spans="1:17" ht="11.25">
      <c r="A45" s="53">
        <v>1997</v>
      </c>
      <c r="B45" s="13">
        <f>+B12/'[6]manip_POP_EU'!B13*1000000</f>
        <v>834.7946226386982</v>
      </c>
      <c r="C45" s="13">
        <f>+C12/'[6]manip_POP_EU'!C13*1000000</f>
        <v>662.954523131323</v>
      </c>
      <c r="D45" s="13">
        <f>+D12/'[6]manip_POP_EU'!D13*1000000</f>
        <v>415.5456380371314</v>
      </c>
      <c r="E45" s="13">
        <f>+E12/'[6]manip_POP_EU'!E13*1000000</f>
        <v>639.8280635059887</v>
      </c>
      <c r="F45" s="13">
        <f>+F12/'[6]manip_POP_EU'!F13*1000000</f>
        <v>427.7225874059254</v>
      </c>
      <c r="G45" s="13">
        <f>+G12/'[6]manip_POP_EU'!G13*1000000</f>
        <v>388.31078503674695</v>
      </c>
      <c r="H45" s="13">
        <f>+H12/'[6]manip_POP_EU'!H13*1000000</f>
        <v>919.8067619571195</v>
      </c>
      <c r="I45" s="13">
        <f>+I12/'[6]manip_POP_EU'!I13*1000000</f>
        <v>990.6999999999999</v>
      </c>
      <c r="J45" s="13">
        <f>+J12/'[6]manip_POP_EU'!J13*1000000</f>
        <v>365.88689741494704</v>
      </c>
      <c r="K45" s="13">
        <f>+K12/'[6]manip_POP_EU'!K13*1000000</f>
        <v>0</v>
      </c>
      <c r="L45" s="13">
        <f>+L12/'[6]manip_POP_EU'!L13*1000000</f>
        <v>3131.3234446081883</v>
      </c>
      <c r="M45" s="13">
        <f>+M12/'[6]manip_POP_EU'!M13*1000000</f>
        <v>500.871883431737</v>
      </c>
      <c r="N45" s="13">
        <f>+N12/'[6]manip_POP_EU'!N13*1000000</f>
        <v>423.72207139265953</v>
      </c>
      <c r="O45" s="13">
        <f>+O12/'[6]manip_POP_EU'!O13*1000000</f>
        <v>662.4116704021915</v>
      </c>
      <c r="P45" s="13">
        <f>+P12/'[6]manip_POP_EU'!P13*1000000</f>
        <v>620.3315044309503</v>
      </c>
      <c r="Q45" s="13">
        <f>+Q12/'[6]manip_POP_EU'!Q13*1000000</f>
        <v>1467.3419986781676</v>
      </c>
    </row>
    <row r="46" spans="1:17" ht="11.25">
      <c r="A46" s="53">
        <v>1998</v>
      </c>
      <c r="B46" s="13">
        <f>+B13/'[6]manip_POP_EU'!B14*1000000</f>
        <v>890.9708533225868</v>
      </c>
      <c r="C46" s="13">
        <f>+C13/'[6]manip_POP_EU'!C14*1000000</f>
        <v>946.9942173870432</v>
      </c>
      <c r="D46" s="13">
        <f>+D13/'[6]manip_POP_EU'!D14*1000000</f>
        <v>414.00792303338994</v>
      </c>
      <c r="E46" s="13">
        <f>+E13/'[6]manip_POP_EU'!E14*1000000</f>
        <v>665.4268041488416</v>
      </c>
      <c r="F46" s="13">
        <f>+F13/'[6]manip_POP_EU'!F14*1000000</f>
        <v>398.1793628150262</v>
      </c>
      <c r="G46" s="13">
        <f>+G13/'[6]manip_POP_EU'!G14*1000000</f>
        <v>416.1253968657133</v>
      </c>
      <c r="H46" s="13">
        <f>+H13/'[6]manip_POP_EU'!H14*1000000</f>
        <v>990.9661289770198</v>
      </c>
      <c r="I46" s="13">
        <f>+I13/'[6]manip_POP_EU'!I14*1000000</f>
        <v>1073.3389008620688</v>
      </c>
      <c r="J46" s="13">
        <f>+J13/'[6]manip_POP_EU'!J14*1000000</f>
        <v>364.9825137181357</v>
      </c>
      <c r="K46" s="13">
        <f>+K13/'[6]manip_POP_EU'!K14*1000000</f>
        <v>0</v>
      </c>
      <c r="L46" s="13">
        <f>+L13/'[6]manip_POP_EU'!L14*1000000</f>
        <v>3203.8901133902414</v>
      </c>
      <c r="M46" s="13">
        <f>+M13/'[6]manip_POP_EU'!M14*1000000</f>
        <v>599.012434315989</v>
      </c>
      <c r="N46" s="13">
        <f>+N13/'[6]manip_POP_EU'!N14*1000000</f>
        <v>450.7760834670946</v>
      </c>
      <c r="O46" s="13">
        <f>+O13/'[6]manip_POP_EU'!O14*1000000</f>
        <v>681.0310498738601</v>
      </c>
      <c r="P46" s="13">
        <f>+P13/'[6]manip_POP_EU'!P14*1000000</f>
        <v>619.8332542533724</v>
      </c>
      <c r="Q46" s="13">
        <f>+Q13/'[6]manip_POP_EU'!Q14*1000000</f>
        <v>1606.744409754451</v>
      </c>
    </row>
    <row r="47" spans="1:17" ht="11.25">
      <c r="A47" s="53">
        <v>1999</v>
      </c>
      <c r="B47" s="13">
        <f>+B14/'[6]manip_POP_EU'!B15*1000000</f>
        <v>961.393435647669</v>
      </c>
      <c r="C47" s="13">
        <f>+C14/'[6]manip_POP_EU'!C15*1000000</f>
        <v>1093.2663798161552</v>
      </c>
      <c r="D47" s="13">
        <f>+D14/'[6]manip_POP_EU'!D15*1000000</f>
        <v>421.2785432277818</v>
      </c>
      <c r="E47" s="13">
        <f>+E14/'[6]manip_POP_EU'!E15*1000000</f>
        <v>776.8827219900836</v>
      </c>
      <c r="F47" s="13">
        <f>+F14/'[6]manip_POP_EU'!F15*1000000</f>
        <v>378.3819510343518</v>
      </c>
      <c r="G47" s="13">
        <f>+G14/'[6]manip_POP_EU'!G15*1000000</f>
        <v>504.61256278857377</v>
      </c>
      <c r="H47" s="13">
        <f>+H14/'[6]manip_POP_EU'!H15*1000000</f>
        <v>1112.5388604571817</v>
      </c>
      <c r="I47" s="13">
        <f>+I14/'[6]manip_POP_EU'!I15*1000000</f>
        <v>1273.7582622601278</v>
      </c>
      <c r="J47" s="13">
        <f>+J14/'[6]manip_POP_EU'!J15*1000000</f>
        <v>388.00626235992087</v>
      </c>
      <c r="K47" s="13">
        <f>+K14/'[6]manip_POP_EU'!K15*1000000</f>
        <v>430.80324074074065</v>
      </c>
      <c r="L47" s="13">
        <f>+L14/'[6]manip_POP_EU'!L15*1000000</f>
        <v>3205.7426763682374</v>
      </c>
      <c r="M47" s="13">
        <f>+M14/'[6]manip_POP_EU'!M15*1000000</f>
        <v>684.5660971917576</v>
      </c>
      <c r="N47" s="13">
        <f>+N14/'[6]manip_POP_EU'!N15*1000000</f>
        <v>463.9696666332967</v>
      </c>
      <c r="O47" s="13">
        <f>+O14/'[6]manip_POP_EU'!O15*1000000</f>
        <v>613.5157792836397</v>
      </c>
      <c r="P47" s="13">
        <f>+P14/'[6]manip_POP_EU'!P15*1000000</f>
        <v>632.4600253541026</v>
      </c>
      <c r="Q47" s="13">
        <f>+Q14/'[6]manip_POP_EU'!Q15*1000000</f>
        <v>1642.3453594819575</v>
      </c>
    </row>
    <row r="48" spans="1:17" ht="11.25">
      <c r="A48" s="53">
        <v>2000</v>
      </c>
      <c r="B48" s="13">
        <f>+B15/'[6]manip_POP_EU'!B16*1000000</f>
        <v>1025.8405788699954</v>
      </c>
      <c r="C48" s="13">
        <f>+C15/'[6]manip_POP_EU'!C16*1000000</f>
        <v>1185.448205228248</v>
      </c>
      <c r="D48" s="13">
        <f>+D15/'[6]manip_POP_EU'!D16*1000000</f>
        <v>448.20148854144367</v>
      </c>
      <c r="E48" s="13">
        <f>+E15/'[6]manip_POP_EU'!E16*1000000</f>
        <v>851.9075593426659</v>
      </c>
      <c r="F48" s="13">
        <f>+F15/'[6]manip_POP_EU'!F16*1000000</f>
        <v>383.4391098484848</v>
      </c>
      <c r="G48" s="13">
        <f>+G15/'[6]manip_POP_EU'!G16*1000000</f>
        <v>591.5435195743063</v>
      </c>
      <c r="H48" s="13">
        <f>+H15/'[6]manip_POP_EU'!H16*1000000</f>
        <v>1224.6009305168782</v>
      </c>
      <c r="I48" s="13">
        <f>+I15/'[6]manip_POP_EU'!I16*1000000</f>
        <v>1562.7817606747496</v>
      </c>
      <c r="J48" s="13">
        <f>+J15/'[6]manip_POP_EU'!J16*1000000</f>
        <v>444.40419483446</v>
      </c>
      <c r="K48" s="13">
        <f>+K15/'[6]manip_POP_EU'!K16*1000000</f>
        <v>0</v>
      </c>
      <c r="L48" s="13">
        <f>+L15/'[6]manip_POP_EU'!L16*1000000</f>
        <v>3278.2517117909415</v>
      </c>
      <c r="M48" s="13">
        <f>+M15/'[6]manip_POP_EU'!M16*1000000</f>
        <v>784.8205478506185</v>
      </c>
      <c r="N48" s="13">
        <f>+N15/'[6]manip_POP_EU'!N16*1000000</f>
        <v>519.4448441247002</v>
      </c>
      <c r="O48" s="13">
        <f>+O15/'[6]manip_POP_EU'!O16*1000000</f>
        <v>526.5070504152984</v>
      </c>
      <c r="P48" s="13">
        <f>+P15/'[6]manip_POP_EU'!P16*1000000</f>
        <v>674.1467873653013</v>
      </c>
      <c r="Q48" s="13">
        <f>+Q15/'[6]manip_POP_EU'!Q16*1000000</f>
        <v>1641.5021870171697</v>
      </c>
    </row>
  </sheetData>
  <conditionalFormatting sqref="B5:B16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A1:Q48"/>
  <sheetViews>
    <sheetView workbookViewId="0" topLeftCell="A1">
      <selection activeCell="A5" sqref="A5:Q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138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106"/>
      <c r="B4" s="106" t="s">
        <v>5</v>
      </c>
      <c r="C4" s="106" t="s">
        <v>7</v>
      </c>
      <c r="D4" s="106" t="s">
        <v>8</v>
      </c>
      <c r="E4" s="106" t="s">
        <v>9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06" t="s">
        <v>15</v>
      </c>
      <c r="L4" s="106" t="s">
        <v>16</v>
      </c>
      <c r="M4" s="106" t="s">
        <v>17</v>
      </c>
      <c r="N4" s="106" t="s">
        <v>18</v>
      </c>
      <c r="O4" s="106" t="s">
        <v>19</v>
      </c>
      <c r="P4" s="106" t="s">
        <v>20</v>
      </c>
      <c r="Q4" s="106" t="s">
        <v>21</v>
      </c>
    </row>
    <row r="5" spans="1:17" ht="11.25">
      <c r="A5" s="107">
        <v>1991</v>
      </c>
      <c r="B5" s="28">
        <f>IF(manip_aviation!B22=":",NA(),manip_aviation!B22)</f>
        <v>53.501591999999995</v>
      </c>
      <c r="C5" s="28">
        <f>IF(manip_aviation!C22=":",NA(),manip_aviation!C22)</f>
        <v>1.6815740000000001</v>
      </c>
      <c r="D5" s="28">
        <f>IF(manip_aviation!D22=":",NA(),manip_aviation!D22)</f>
        <v>1.5673151428571428</v>
      </c>
      <c r="E5" s="28">
        <f>IF(manip_aviation!E22=":",NA(),manip_aviation!E22)</f>
        <v>8.06466</v>
      </c>
      <c r="F5" s="28">
        <f>IF(manip_aviation!F22=":",NA(),manip_aviation!F22)</f>
        <v>2.185567</v>
      </c>
      <c r="G5" s="28">
        <f>IF(manip_aviation!G22=":",NA(),manip_aviation!G22)</f>
        <v>5.393944</v>
      </c>
      <c r="H5" s="28">
        <f>IF(manip_aviation!H22=":",NA(),manip_aviation!H22)</f>
        <v>5.458594</v>
      </c>
      <c r="I5" s="28">
        <f>IF(manip_aviation!I22=":",NA(),manip_aviation!I22)</f>
        <v>1.797325</v>
      </c>
      <c r="J5" s="28">
        <f>IF(manip_aviation!J22=":",NA(),manip_aviation!J22)</f>
        <v>4.837652</v>
      </c>
      <c r="K5" s="28">
        <f>IF(manip_aviation!K22=":",NA(),manip_aviation!K22)</f>
        <v>0.258169</v>
      </c>
      <c r="L5" s="28">
        <f>IF(manip_aviation!L22=":",NA(),manip_aviation!L22)</f>
        <v>2.8255529999999998</v>
      </c>
      <c r="M5" s="28">
        <f>IF(manip_aviation!M22=":",NA(),manip_aviation!M22)</f>
        <v>1.773015</v>
      </c>
      <c r="N5" s="28">
        <f>IF(manip_aviation!N22=":",NA(),manip_aviation!N22)</f>
        <v>2.607528</v>
      </c>
      <c r="O5" s="28">
        <f>IF(manip_aviation!O22=":",NA(),manip_aviation!O22)</f>
        <v>1.6827509999999999</v>
      </c>
      <c r="P5" s="28">
        <f>IF(manip_aviation!P22=":",NA(),manip_aviation!P22)</f>
        <v>3.9182878571428574</v>
      </c>
      <c r="Q5" s="28">
        <f>IF(manip_aviation!Q22=":",NA(),manip_aviation!Q22)</f>
        <v>9.449656999999998</v>
      </c>
    </row>
    <row r="6" spans="1:17" ht="11.25">
      <c r="A6" s="107">
        <v>1992</v>
      </c>
      <c r="B6" s="28">
        <f>IF(manip_aviation!B23=":",NA(),manip_aviation!B23)</f>
        <v>60.398452999999996</v>
      </c>
      <c r="C6" s="28">
        <f>IF(manip_aviation!C23=":",NA(),manip_aviation!C23)</f>
        <v>1.840474</v>
      </c>
      <c r="D6" s="28">
        <f>IF(manip_aviation!D23=":",NA(),manip_aviation!D23)</f>
        <v>1.7066485714285713</v>
      </c>
      <c r="E6" s="28">
        <f>IF(manip_aviation!E23=":",NA(),manip_aviation!E23)</f>
        <v>9.231677</v>
      </c>
      <c r="F6" s="28">
        <f>IF(manip_aviation!F23=":",NA(),manip_aviation!F23)</f>
        <v>2.5847930000000003</v>
      </c>
      <c r="G6" s="28">
        <f>IF(manip_aviation!G23=":",NA(),manip_aviation!G23)</f>
        <v>5.422256</v>
      </c>
      <c r="H6" s="28">
        <f>IF(manip_aviation!H23=":",NA(),manip_aviation!H23)</f>
        <v>5.8261270000000005</v>
      </c>
      <c r="I6" s="28">
        <f>IF(manip_aviation!I23=":",NA(),manip_aviation!I23)</f>
        <v>1.798505</v>
      </c>
      <c r="J6" s="28">
        <f>IF(manip_aviation!J23=":",NA(),manip_aviation!J23)</f>
        <v>5.589665</v>
      </c>
      <c r="K6" s="28">
        <f>IF(manip_aviation!K23=":",NA(),manip_aviation!K23)</f>
        <v>0.286118</v>
      </c>
      <c r="L6" s="28">
        <f>IF(manip_aviation!L23=":",NA(),manip_aviation!L23)</f>
        <v>3.400537</v>
      </c>
      <c r="M6" s="28">
        <f>IF(manip_aviation!M23=":",NA(),manip_aviation!M23)</f>
        <v>1.9769949999999998</v>
      </c>
      <c r="N6" s="28">
        <f>IF(manip_aviation!N23=":",NA(),manip_aviation!N23)</f>
        <v>2.837759</v>
      </c>
      <c r="O6" s="28">
        <f>IF(manip_aviation!O23=":",NA(),manip_aviation!O23)</f>
        <v>1.728691</v>
      </c>
      <c r="P6" s="28">
        <f>IF(manip_aviation!P23=":",NA(),manip_aviation!P23)</f>
        <v>4.266621428571429</v>
      </c>
      <c r="Q6" s="28">
        <f>IF(manip_aviation!Q23=":",NA(),manip_aviation!Q23)</f>
        <v>11.901586</v>
      </c>
    </row>
    <row r="7" spans="1:17" ht="11.25">
      <c r="A7" s="107">
        <v>1993</v>
      </c>
      <c r="B7" s="28">
        <f>IF(manip_aviation!B24=":",NA(),manip_aviation!B24)</f>
        <v>65.15387100000001</v>
      </c>
      <c r="C7" s="28">
        <f>IF(manip_aviation!C24=":",NA(),manip_aviation!C24)</f>
        <v>2.234333</v>
      </c>
      <c r="D7" s="28">
        <f>IF(manip_aviation!D24=":",NA(),manip_aviation!D24)</f>
        <v>1.8919822857142858</v>
      </c>
      <c r="E7" s="28">
        <f>IF(manip_aviation!E24=":",NA(),manip_aviation!E24)</f>
        <v>9.947388</v>
      </c>
      <c r="F7" s="28">
        <f>IF(manip_aviation!F24=":",NA(),manip_aviation!F24)</f>
        <v>2.710464</v>
      </c>
      <c r="G7" s="28">
        <f>IF(manip_aviation!G24=":",NA(),manip_aviation!G24)</f>
        <v>5.572698999999999</v>
      </c>
      <c r="H7" s="28">
        <f>IF(manip_aviation!H24=":",NA(),manip_aviation!H24)</f>
        <v>5.725775</v>
      </c>
      <c r="I7" s="28">
        <f>IF(manip_aviation!I24=":",NA(),manip_aviation!I24)</f>
        <v>1.66105</v>
      </c>
      <c r="J7" s="28">
        <f>IF(manip_aviation!J24=":",NA(),manip_aviation!J24)</f>
        <v>5.6876999999999995</v>
      </c>
      <c r="K7" s="28">
        <f>IF(manip_aviation!K24=":",NA(),manip_aviation!K24)</f>
        <v>0.290451</v>
      </c>
      <c r="L7" s="28">
        <f>IF(manip_aviation!L24=":",NA(),manip_aviation!L24)</f>
        <v>4.068437</v>
      </c>
      <c r="M7" s="28">
        <f>IF(manip_aviation!M24=":",NA(),manip_aviation!M24)</f>
        <v>1.977559</v>
      </c>
      <c r="N7" s="28">
        <f>IF(manip_aviation!N24=":",NA(),manip_aviation!N24)</f>
        <v>2.991902</v>
      </c>
      <c r="O7" s="28">
        <f>IF(manip_aviation!O24=":",NA(),manip_aviation!O24)</f>
        <v>2.053116</v>
      </c>
      <c r="P7" s="28">
        <f>IF(manip_aviation!P24=":",NA(),manip_aviation!P24)</f>
        <v>4.729955714285714</v>
      </c>
      <c r="Q7" s="28">
        <f>IF(manip_aviation!Q24=":",NA(),manip_aviation!Q24)</f>
        <v>13.611059</v>
      </c>
    </row>
    <row r="8" spans="1:17" ht="11.25">
      <c r="A8" s="107">
        <v>1994</v>
      </c>
      <c r="B8" s="28">
        <f>IF(manip_aviation!B25=":",NA(),manip_aviation!B25)</f>
        <v>71.06540199999999</v>
      </c>
      <c r="C8" s="28">
        <f>IF(manip_aviation!C25=":",NA(),manip_aviation!C25)</f>
        <v>2.6273739999999997</v>
      </c>
      <c r="D8" s="28">
        <f>IF(manip_aviation!D25=":",NA(),manip_aviation!D25)</f>
        <v>1.991777142857143</v>
      </c>
      <c r="E8" s="28">
        <f>IF(manip_aviation!E25=":",NA(),manip_aviation!E25)</f>
        <v>10.80128</v>
      </c>
      <c r="F8" s="28">
        <f>IF(manip_aviation!F25=":",NA(),manip_aviation!F25)</f>
        <v>3.055558</v>
      </c>
      <c r="G8" s="28">
        <f>IF(manip_aviation!G25=":",NA(),manip_aviation!G25)</f>
        <v>5.280937</v>
      </c>
      <c r="H8" s="28">
        <f>IF(manip_aviation!H25=":",NA(),manip_aviation!H25)</f>
        <v>6.332694999999999</v>
      </c>
      <c r="I8" s="28">
        <f>IF(manip_aviation!I25=":",NA(),manip_aviation!I25)</f>
        <v>1.6568209999999999</v>
      </c>
      <c r="J8" s="28">
        <f>IF(manip_aviation!J25=":",NA(),manip_aviation!J25)</f>
        <v>6.38162</v>
      </c>
      <c r="K8" s="28">
        <f>IF(manip_aviation!K25=":",NA(),manip_aviation!K25)</f>
        <v>0.36114999999999997</v>
      </c>
      <c r="L8" s="28">
        <f>IF(manip_aviation!L25=":",NA(),manip_aviation!L25)</f>
        <v>4.970776</v>
      </c>
      <c r="M8" s="28">
        <f>IF(manip_aviation!M25=":",NA(),manip_aviation!M25)</f>
        <v>1.976931</v>
      </c>
      <c r="N8" s="28">
        <f>IF(manip_aviation!N25=":",NA(),manip_aviation!N25)</f>
        <v>2.8121680000000002</v>
      </c>
      <c r="O8" s="28">
        <f>IF(manip_aviation!O25=":",NA(),manip_aviation!O25)</f>
        <v>2.878504</v>
      </c>
      <c r="P8" s="28">
        <f>IF(manip_aviation!P25=":",NA(),manip_aviation!P25)</f>
        <v>4.979442857142857</v>
      </c>
      <c r="Q8" s="28">
        <f>IF(manip_aviation!Q25=":",NA(),manip_aviation!Q25)</f>
        <v>14.958368</v>
      </c>
    </row>
    <row r="9" spans="1:17" ht="11.25">
      <c r="A9" s="107">
        <v>1995</v>
      </c>
      <c r="B9" s="28">
        <f>IF(manip_aviation!B26=":",NA(),manip_aviation!B26)</f>
        <v>77.34053600000001</v>
      </c>
      <c r="C9" s="28">
        <f>IF(manip_aviation!C26=":",NA(),manip_aviation!C26)</f>
        <v>3.183217</v>
      </c>
      <c r="D9" s="28">
        <f>IF(manip_aviation!D26=":",NA(),manip_aviation!D26)</f>
        <v>2.0862251428571432</v>
      </c>
      <c r="E9" s="28">
        <f>IF(manip_aviation!E26=":",NA(),manip_aviation!E26)</f>
        <v>11.974966</v>
      </c>
      <c r="F9" s="28">
        <f>IF(manip_aviation!F26=":",NA(),manip_aviation!F26)</f>
        <v>3.009843</v>
      </c>
      <c r="G9" s="28">
        <f>IF(manip_aviation!G26=":",NA(),manip_aviation!G26)</f>
        <v>6.5949290000000005</v>
      </c>
      <c r="H9" s="28">
        <f>IF(manip_aviation!H26=":",NA(),manip_aviation!H26)</f>
        <v>5.876117</v>
      </c>
      <c r="I9" s="28">
        <f>IF(manip_aviation!I26=":",NA(),manip_aviation!I26)</f>
        <v>1.824811</v>
      </c>
      <c r="J9" s="28">
        <f>IF(manip_aviation!J26=":",NA(),manip_aviation!J26)</f>
        <v>6.88195</v>
      </c>
      <c r="K9" s="28">
        <f>IF(manip_aviation!K26=":",NA(),manip_aviation!K26)</f>
        <v>0.380074</v>
      </c>
      <c r="L9" s="28">
        <f>IF(manip_aviation!L26=":",NA(),manip_aviation!L26)</f>
        <v>5.120703000000001</v>
      </c>
      <c r="M9" s="28">
        <f>IF(manip_aviation!M26=":",NA(),manip_aviation!M26)</f>
        <v>2.116535</v>
      </c>
      <c r="N9" s="28">
        <f>IF(manip_aviation!N26=":",NA(),manip_aviation!N26)</f>
        <v>2.954191</v>
      </c>
      <c r="O9" s="28">
        <f>IF(manip_aviation!O26=":",NA(),manip_aviation!O26)</f>
        <v>4.365527</v>
      </c>
      <c r="P9" s="28">
        <f>IF(manip_aviation!P26=":",NA(),manip_aviation!P26)</f>
        <v>5.215562857142857</v>
      </c>
      <c r="Q9" s="28">
        <f>IF(manip_aviation!Q26=":",NA(),manip_aviation!Q26)</f>
        <v>15.755885000000001</v>
      </c>
    </row>
    <row r="10" spans="1:17" ht="11.25">
      <c r="A10" s="107">
        <v>1996</v>
      </c>
      <c r="B10" s="28">
        <f>IF(manip_aviation!B27=":",NA(),manip_aviation!B27)</f>
        <v>82.061392</v>
      </c>
      <c r="C10" s="28">
        <f>IF(manip_aviation!C27=":",NA(),manip_aviation!C27)</f>
        <v>3.312376</v>
      </c>
      <c r="D10" s="28">
        <f>IF(manip_aviation!D27=":",NA(),manip_aviation!D27)</f>
        <v>2.2297274285714286</v>
      </c>
      <c r="E10" s="28">
        <f>IF(manip_aviation!E27=":",NA(),manip_aviation!E27)</f>
        <v>12.618554</v>
      </c>
      <c r="F10" s="28">
        <f>IF(manip_aviation!F27=":",NA(),manip_aviation!F27)</f>
        <v>3.1493409999999997</v>
      </c>
      <c r="G10" s="28">
        <f>IF(manip_aviation!G27=":",NA(),manip_aviation!G27)</f>
        <v>6.556475000000001</v>
      </c>
      <c r="H10" s="28">
        <f>IF(manip_aviation!H27=":",NA(),manip_aviation!H27)</f>
        <v>6.513589</v>
      </c>
      <c r="I10" s="28">
        <f>IF(manip_aviation!I27=":",NA(),manip_aviation!I27)</f>
        <v>1.97777</v>
      </c>
      <c r="J10" s="28">
        <f>IF(manip_aviation!J27=":",NA(),manip_aviation!J27)</f>
        <v>7.829542999999999</v>
      </c>
      <c r="K10" s="28">
        <f>IF(manip_aviation!K27=":",NA(),manip_aviation!K27)</f>
        <v>0.420996</v>
      </c>
      <c r="L10" s="28">
        <f>IF(manip_aviation!L27=":",NA(),manip_aviation!L27)</f>
        <v>5.587187</v>
      </c>
      <c r="M10" s="28">
        <f>IF(manip_aviation!M27=":",NA(),manip_aviation!M27)</f>
        <v>2.1119299999999996</v>
      </c>
      <c r="N10" s="28">
        <f>IF(manip_aviation!N27=":",NA(),manip_aviation!N27)</f>
        <v>3.100133</v>
      </c>
      <c r="O10" s="28">
        <f>IF(manip_aviation!O27=":",NA(),manip_aviation!O27)</f>
        <v>4.452975</v>
      </c>
      <c r="P10" s="28">
        <f>IF(manip_aviation!P27=":",NA(),manip_aviation!P27)</f>
        <v>5.574318571428571</v>
      </c>
      <c r="Q10" s="28">
        <f>IF(manip_aviation!Q27=":",NA(),manip_aviation!Q27)</f>
        <v>16.626476999999998</v>
      </c>
    </row>
    <row r="11" spans="1:17" ht="11.25">
      <c r="A11" s="107">
        <v>1997</v>
      </c>
      <c r="B11" s="28">
        <f>IF(manip_aviation!B28=":",NA(),manip_aviation!B28)</f>
        <v>90.39389999999999</v>
      </c>
      <c r="C11" s="28">
        <f>IF(manip_aviation!C28=":",NA(),manip_aviation!C28)</f>
        <v>4.524037</v>
      </c>
      <c r="D11" s="28">
        <f>IF(manip_aviation!D28=":",NA(),manip_aviation!D28)</f>
        <v>2.4388422857142857</v>
      </c>
      <c r="E11" s="28">
        <f>IF(manip_aviation!E28=":",NA(),manip_aviation!E28)</f>
        <v>14.029566</v>
      </c>
      <c r="F11" s="28">
        <f>IF(manip_aviation!F28=":",NA(),manip_aviation!F28)</f>
        <v>3.536525</v>
      </c>
      <c r="G11" s="28">
        <f>IF(manip_aviation!G28=":",NA(),manip_aviation!G28)</f>
        <v>6.824435</v>
      </c>
      <c r="H11" s="28">
        <f>IF(manip_aviation!H28=":",NA(),manip_aviation!H28)</f>
        <v>7.871656</v>
      </c>
      <c r="I11" s="28">
        <f>IF(manip_aviation!I28=":",NA(),manip_aviation!I28)</f>
        <v>2.1974319999999996</v>
      </c>
      <c r="J11" s="28">
        <f>IF(manip_aviation!J28=":",NA(),manip_aviation!J28)</f>
        <v>7.898212</v>
      </c>
      <c r="K11" s="28">
        <f>IF(manip_aviation!K28=":",NA(),manip_aviation!K28)</f>
        <v>0.446551</v>
      </c>
      <c r="L11" s="28">
        <f>IF(manip_aviation!L28=":",NA(),manip_aviation!L28)</f>
        <v>6.517234</v>
      </c>
      <c r="M11" s="28">
        <f>IF(manip_aviation!M28=":",NA(),manip_aviation!M28)</f>
        <v>2.184558</v>
      </c>
      <c r="N11" s="28">
        <f>IF(manip_aviation!N28=":",NA(),manip_aviation!N28)</f>
        <v>3.339174</v>
      </c>
      <c r="O11" s="28">
        <f>IF(manip_aviation!O28=":",NA(),manip_aviation!O28)</f>
        <v>5.124372</v>
      </c>
      <c r="P11" s="28">
        <f>IF(manip_aviation!P28=":",NA(),manip_aviation!P28)</f>
        <v>6.097105714285714</v>
      </c>
      <c r="Q11" s="28">
        <f>IF(manip_aviation!Q28=":",NA(),manip_aviation!Q28)</f>
        <v>17.3642</v>
      </c>
    </row>
    <row r="12" spans="1:17" ht="11.25">
      <c r="A12" s="107">
        <v>1998</v>
      </c>
      <c r="B12" s="28">
        <f>IF(manip_aviation!B29=":",NA(),manip_aviation!B29)</f>
        <v>97.01048800000001</v>
      </c>
      <c r="C12" s="28">
        <f>IF(manip_aviation!C29=":",NA(),manip_aviation!C29)</f>
        <v>5.676299</v>
      </c>
      <c r="D12" s="28">
        <f>IF(manip_aviation!D29=":",NA(),manip_aviation!D29)</f>
        <v>2.5068994285714283</v>
      </c>
      <c r="E12" s="28">
        <f>IF(manip_aviation!E29=":",NA(),manip_aviation!E29)</f>
        <v>15.610935999999999</v>
      </c>
      <c r="F12" s="28">
        <f>IF(manip_aviation!F29=":",NA(),manip_aviation!F29)</f>
        <v>3.268607</v>
      </c>
      <c r="G12" s="28">
        <f>IF(manip_aviation!G29=":",NA(),manip_aviation!G29)</f>
        <v>7.523045</v>
      </c>
      <c r="H12" s="28">
        <f>IF(manip_aviation!H29=":",NA(),manip_aviation!H29)</f>
        <v>8.033406</v>
      </c>
      <c r="I12" s="28">
        <f>IF(manip_aviation!I29=":",NA(),manip_aviation!I29)</f>
        <v>2.413845</v>
      </c>
      <c r="J12" s="28">
        <f>IF(manip_aviation!J29=":",NA(),manip_aviation!J29)</f>
        <v>7.447631</v>
      </c>
      <c r="K12" s="28">
        <f>IF(manip_aviation!K29=":",NA(),manip_aviation!K29)</f>
        <v>0.453941</v>
      </c>
      <c r="L12" s="28">
        <f>IF(manip_aviation!L29=":",NA(),manip_aviation!L29)</f>
        <v>6.984161</v>
      </c>
      <c r="M12" s="28">
        <f>IF(manip_aviation!M29=":",NA(),manip_aviation!M29)</f>
        <v>2.4428560000000004</v>
      </c>
      <c r="N12" s="28">
        <f>IF(manip_aviation!N29=":",NA(),manip_aviation!N29)</f>
        <v>3.4810749999999997</v>
      </c>
      <c r="O12" s="28">
        <f>IF(manip_aviation!O29=":",NA(),manip_aviation!O29)</f>
        <v>5.957859999999999</v>
      </c>
      <c r="P12" s="28">
        <f>IF(manip_aviation!P29=":",NA(),manip_aviation!P29)</f>
        <v>6.2672485714285715</v>
      </c>
      <c r="Q12" s="28">
        <f>IF(manip_aviation!Q29=":",NA(),manip_aviation!Q29)</f>
        <v>18.942678</v>
      </c>
    </row>
    <row r="13" spans="1:17" ht="11.25">
      <c r="A13" s="107">
        <v>1999</v>
      </c>
      <c r="B13" s="28">
        <f>IF(manip_aviation!B30=":",NA(),manip_aviation!B30)</f>
        <v>98.67064399999998</v>
      </c>
      <c r="C13" s="28">
        <f>IF(manip_aviation!C30=":",NA(),manip_aviation!C30)</f>
        <v>6.5132259999999995</v>
      </c>
      <c r="D13" s="28">
        <f>IF(manip_aviation!D30=":",NA(),manip_aviation!D30)</f>
        <v>2.498556</v>
      </c>
      <c r="E13" s="28">
        <f>IF(manip_aviation!E30=":",NA(),manip_aviation!E30)</f>
        <v>16.73266</v>
      </c>
      <c r="F13" s="28">
        <f>IF(manip_aviation!F30=":",NA(),manip_aviation!F30)</f>
        <v>3.2457689999999997</v>
      </c>
      <c r="G13" s="28">
        <f>IF(manip_aviation!G30=":",NA(),manip_aviation!G30)</f>
        <v>7.902027</v>
      </c>
      <c r="H13" s="28">
        <f>IF(manip_aviation!H30=":",NA(),manip_aviation!H30)</f>
        <v>9.381706</v>
      </c>
      <c r="I13" s="28">
        <f>IF(manip_aviation!I30=":",NA(),manip_aviation!I30)</f>
        <v>2.749788</v>
      </c>
      <c r="J13" s="28">
        <f>IF(manip_aviation!J30=":",NA(),manip_aviation!J30)</f>
        <v>7.291016</v>
      </c>
      <c r="K13" s="28">
        <f>IF(manip_aviation!K30=":",NA(),manip_aviation!K30)</f>
        <v>0.552126</v>
      </c>
      <c r="L13" s="28">
        <f>IF(manip_aviation!L30=":",NA(),manip_aviation!L30)</f>
        <v>7.445784</v>
      </c>
      <c r="M13" s="28">
        <f>IF(manip_aviation!M30=":",NA(),manip_aviation!M30)</f>
        <v>2.3479029999999996</v>
      </c>
      <c r="N13" s="28">
        <f>IF(manip_aviation!N30=":",NA(),manip_aviation!N30)</f>
        <v>3.50286</v>
      </c>
      <c r="O13" s="28">
        <f>IF(manip_aviation!O30=":",NA(),manip_aviation!O30)</f>
        <v>3.423655</v>
      </c>
      <c r="P13" s="28">
        <f>IF(manip_aviation!P30=":",NA(),manip_aviation!P30)</f>
        <v>6.24639</v>
      </c>
      <c r="Q13" s="28">
        <f>IF(manip_aviation!Q30=":",NA(),manip_aviation!Q30)</f>
        <v>18.837178</v>
      </c>
    </row>
    <row r="14" spans="1:17" ht="11.25">
      <c r="A14" s="107">
        <v>2000</v>
      </c>
      <c r="B14" s="28">
        <f>IF(manip_aviation!B31=":",NA(),manip_aviation!B31)</f>
        <v>106.739241</v>
      </c>
      <c r="C14" s="28">
        <f>IF(manip_aviation!C31=":",NA(),manip_aviation!C31)</f>
        <v>7.225474</v>
      </c>
      <c r="D14" s="28">
        <f>IF(manip_aviation!D31=":",NA(),manip_aviation!D31)</f>
        <v>2.673060285714286</v>
      </c>
      <c r="E14" s="28">
        <f>IF(manip_aviation!E31=":",NA(),manip_aviation!E31)</f>
        <v>18.064996999999998</v>
      </c>
      <c r="F14" s="28">
        <f>IF(manip_aviation!F31=":",NA(),manip_aviation!F31)</f>
        <v>3.738782</v>
      </c>
      <c r="G14" s="28">
        <f>IF(manip_aviation!G31=":",NA(),manip_aviation!G31)</f>
        <v>9.322537</v>
      </c>
      <c r="H14" s="28">
        <f>IF(manip_aviation!H31=":",NA(),manip_aviation!H31)</f>
        <v>10.362602</v>
      </c>
      <c r="I14" s="28">
        <f>IF(manip_aviation!I31=":",NA(),manip_aviation!I31)</f>
        <v>2.8787849999999997</v>
      </c>
      <c r="J14" s="28">
        <f>IF(manip_aviation!J31=":",NA(),manip_aviation!J31)</f>
        <v>7.759396</v>
      </c>
      <c r="K14" s="28">
        <f>IF(manip_aviation!K31=":",NA(),manip_aviation!K31)</f>
        <v>0.557327</v>
      </c>
      <c r="L14" s="28">
        <f>IF(manip_aviation!L31=":",NA(),manip_aviation!L31)</f>
        <v>8.140130000000001</v>
      </c>
      <c r="M14" s="28">
        <f>IF(manip_aviation!M31=":",NA(),manip_aviation!M31)</f>
        <v>2.433876</v>
      </c>
      <c r="N14" s="28">
        <f>IF(manip_aviation!N31=":",NA(),manip_aviation!N31)</f>
        <v>3.966798</v>
      </c>
      <c r="O14" s="28">
        <f>IF(manip_aviation!O31=":",NA(),manip_aviation!O31)</f>
        <v>3.462752</v>
      </c>
      <c r="P14" s="28">
        <f>IF(manip_aviation!P31=":",NA(),manip_aviation!P31)</f>
        <v>6.682650714285715</v>
      </c>
      <c r="Q14" s="28">
        <f>IF(manip_aviation!Q31=":",NA(),manip_aviation!Q31)</f>
        <v>19.470074</v>
      </c>
    </row>
    <row r="15" spans="1:17" ht="11.25">
      <c r="A15" s="107">
        <v>2001</v>
      </c>
      <c r="B15" s="28" t="e">
        <f>IF(manip_aviation!B32=":",NA(),manip_aviation!B32)</f>
        <v>#N/A</v>
      </c>
      <c r="C15" s="28" t="e">
        <f>IF(manip_aviation!C32=":",NA(),manip_aviation!C32)</f>
        <v>#N/A</v>
      </c>
      <c r="D15" s="28" t="e">
        <f>IF(manip_aviation!D32=":",NA(),manip_aviation!D32)</f>
        <v>#N/A</v>
      </c>
      <c r="E15" s="28" t="e">
        <f>IF(manip_aviation!E32=":",NA(),manip_aviation!E32)</f>
        <v>#N/A</v>
      </c>
      <c r="F15" s="28" t="e">
        <f>IF(manip_aviation!F32=":",NA(),manip_aviation!F32)</f>
        <v>#N/A</v>
      </c>
      <c r="G15" s="28" t="e">
        <f>IF(manip_aviation!G32=":",NA(),manip_aviation!G32)</f>
        <v>#N/A</v>
      </c>
      <c r="H15" s="28" t="e">
        <f>IF(manip_aviation!H32=":",NA(),manip_aviation!H32)</f>
        <v>#N/A</v>
      </c>
      <c r="I15" s="28" t="e">
        <f>IF(manip_aviation!I32=":",NA(),manip_aviation!I32)</f>
        <v>#N/A</v>
      </c>
      <c r="J15" s="28" t="e">
        <f>IF(manip_aviation!J32=":",NA(),manip_aviation!J32)</f>
        <v>#N/A</v>
      </c>
      <c r="K15" s="28" t="e">
        <f>IF(manip_aviation!K32=":",NA(),manip_aviation!K32)</f>
        <v>#N/A</v>
      </c>
      <c r="L15" s="28" t="e">
        <f>IF(manip_aviation!L32=":",NA(),manip_aviation!L32)</f>
        <v>#N/A</v>
      </c>
      <c r="M15" s="28" t="e">
        <f>IF(manip_aviation!M32=":",NA(),manip_aviation!M32)</f>
        <v>#N/A</v>
      </c>
      <c r="N15" s="28" t="e">
        <f>IF(manip_aviation!N32=":",NA(),manip_aviation!N32)</f>
        <v>#N/A</v>
      </c>
      <c r="O15" s="28" t="e">
        <f>IF(manip_aviation!O32=":",NA(),manip_aviation!O32)</f>
        <v>#N/A</v>
      </c>
      <c r="P15" s="28" t="e">
        <f>IF(manip_aviation!P32=":",NA(),manip_aviation!P32)</f>
        <v>#N/A</v>
      </c>
      <c r="Q15" s="28" t="e">
        <f>IF(manip_aviation!Q32=":",NA(),manip_aviation!Q32)</f>
        <v>#N/A</v>
      </c>
    </row>
    <row r="27" spans="1:17" ht="11.25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1.25">
      <c r="A28" s="6" t="s">
        <v>51</v>
      </c>
      <c r="B28" s="30" t="s">
        <v>117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2" ht="11.25">
      <c r="A29" s="6" t="s">
        <v>57</v>
      </c>
      <c r="B29" s="3" t="s">
        <v>137</v>
      </c>
    </row>
    <row r="30" ht="11.25">
      <c r="B30" s="3"/>
    </row>
    <row r="32" ht="11.25">
      <c r="A32" s="2"/>
    </row>
    <row r="33" ht="11.25">
      <c r="A33" s="2"/>
    </row>
    <row r="34" ht="11.25">
      <c r="A34" s="2" t="s">
        <v>106</v>
      </c>
    </row>
    <row r="35" ht="11.25">
      <c r="A35" s="57" t="s">
        <v>95</v>
      </c>
    </row>
    <row r="36" ht="11.25">
      <c r="A36" s="57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 t="e">
        <f>+#REF!/'[4]manip_POP_EU'!B5*1000000</f>
        <v>#REF!</v>
      </c>
      <c r="C38" s="13" t="e">
        <f>+#REF!/'[4]manip_POP_EU'!C5*1000000</f>
        <v>#REF!</v>
      </c>
      <c r="D38" s="13" t="e">
        <f>+#REF!/'[4]manip_POP_EU'!D5*1000000</f>
        <v>#REF!</v>
      </c>
      <c r="E38" s="13" t="e">
        <f>+#REF!/'[4]manip_POP_EU'!E5*1000000</f>
        <v>#REF!</v>
      </c>
      <c r="F38" s="13" t="e">
        <f>+#REF!/'[4]manip_POP_EU'!F5*1000000</f>
        <v>#REF!</v>
      </c>
      <c r="G38" s="13" t="e">
        <f>+#REF!/'[4]manip_POP_EU'!G5*1000000</f>
        <v>#REF!</v>
      </c>
      <c r="H38" s="13" t="e">
        <f>+#REF!/'[4]manip_POP_EU'!H5*1000000</f>
        <v>#REF!</v>
      </c>
      <c r="I38" s="13" t="e">
        <f>+#REF!/'[4]manip_POP_EU'!I5*1000000</f>
        <v>#REF!</v>
      </c>
      <c r="J38" s="13" t="e">
        <f>+#REF!/'[4]manip_POP_EU'!J5*1000000</f>
        <v>#REF!</v>
      </c>
      <c r="K38" s="13" t="e">
        <f>+#REF!/'[4]manip_POP_EU'!K5*1000000</f>
        <v>#REF!</v>
      </c>
      <c r="L38" s="13" t="e">
        <f>+#REF!/'[4]manip_POP_EU'!L5*1000000</f>
        <v>#REF!</v>
      </c>
      <c r="M38" s="13" t="e">
        <f>+#REF!/'[4]manip_POP_EU'!M5*1000000</f>
        <v>#REF!</v>
      </c>
      <c r="N38" s="13" t="e">
        <f>+#REF!/'[4]manip_POP_EU'!N5*1000000</f>
        <v>#REF!</v>
      </c>
      <c r="O38" s="13" t="e">
        <f>+#REF!/'[4]manip_POP_EU'!O5*1000000</f>
        <v>#REF!</v>
      </c>
      <c r="P38" s="13" t="e">
        <f>+#REF!/'[4]manip_POP_EU'!P5*1000000</f>
        <v>#REF!</v>
      </c>
      <c r="Q38" s="13" t="e">
        <f>+#REF!/'[4]manip_POP_EU'!Q5*1000000</f>
        <v>#REF!</v>
      </c>
    </row>
    <row r="39" spans="1:17" ht="11.25">
      <c r="A39" s="53">
        <v>1991</v>
      </c>
      <c r="B39" s="13">
        <f>+B5/'[4]manip_POP_EU'!B6*1000000</f>
        <v>146.1069181342237</v>
      </c>
      <c r="C39" s="13">
        <f>+C5/'[4]manip_POP_EU'!C6*1000000</f>
        <v>168.08176320655704</v>
      </c>
      <c r="D39" s="13">
        <f>+D5/'[4]manip_POP_EU'!D6*1000000</f>
        <v>304.09684572315535</v>
      </c>
      <c r="E39" s="13">
        <f>+E5/'[4]manip_POP_EU'!E6*1000000</f>
        <v>100.79061164296247</v>
      </c>
      <c r="F39" s="13">
        <f>+F5/'[4]manip_POP_EU'!F6*1000000</f>
        <v>213.28847467551478</v>
      </c>
      <c r="G39" s="13">
        <f>+G5/'[4]manip_POP_EU'!G6*1000000</f>
        <v>138.60478980367972</v>
      </c>
      <c r="H39" s="13">
        <f>+H5/'[4]manip_POP_EU'!H6*1000000</f>
        <v>95.80262384274494</v>
      </c>
      <c r="I39" s="13">
        <f>+I5/'[4]manip_POP_EU'!I6*1000000</f>
        <v>509.77820007374424</v>
      </c>
      <c r="J39" s="13">
        <f>+J5/'[4]manip_POP_EU'!J6*1000000</f>
        <v>85.24346707547004</v>
      </c>
      <c r="K39" s="13">
        <f>+K5/'[4]manip_POP_EU'!K6*1000000</f>
        <v>666.9310255747868</v>
      </c>
      <c r="L39" s="13">
        <f>+L5/'[4]manip_POP_EU'!L6*1000000</f>
        <v>187.4952222959522</v>
      </c>
      <c r="M39" s="13">
        <f>+M5/'[4]manip_POP_EU'!M6*1000000</f>
        <v>226.55732886952302</v>
      </c>
      <c r="N39" s="13">
        <f>+N5/'[4]manip_POP_EU'!N6*1000000</f>
        <v>264.2140034451312</v>
      </c>
      <c r="O39" s="13">
        <f>+O5/'[4]manip_POP_EU'!O6*1000000</f>
        <v>335.6104906262465</v>
      </c>
      <c r="P39" s="13">
        <f>+P5/'[4]manip_POP_EU'!P6*1000000</f>
        <v>454.6949030035576</v>
      </c>
      <c r="Q39" s="13">
        <f>+Q5/'[4]manip_POP_EU'!Q6*1000000</f>
        <v>163.46625034597284</v>
      </c>
    </row>
    <row r="40" spans="1:17" ht="11.25">
      <c r="A40" s="53">
        <v>1992</v>
      </c>
      <c r="B40" s="13">
        <f>+B6/'[4]manip_POP_EU'!B7*1000000</f>
        <v>164.1787414072381</v>
      </c>
      <c r="C40" s="13">
        <f>+C6/'[4]manip_POP_EU'!C7*1000000</f>
        <v>183.22289696366352</v>
      </c>
      <c r="D40" s="13">
        <f>+D6/'[4]manip_POP_EU'!D7*1000000</f>
        <v>330.1061066592981</v>
      </c>
      <c r="E40" s="13">
        <f>+E6/'[4]manip_POP_EU'!E7*1000000</f>
        <v>114.5028403453066</v>
      </c>
      <c r="F40" s="13">
        <f>+F6/'[4]manip_POP_EU'!F7*1000000</f>
        <v>250.4159077698121</v>
      </c>
      <c r="G40" s="13">
        <f>+G6/'[4]manip_POP_EU'!G7*1000000</f>
        <v>139.01081884838229</v>
      </c>
      <c r="H40" s="13">
        <f>+H6/'[4]manip_POP_EU'!H7*1000000</f>
        <v>101.78009968152922</v>
      </c>
      <c r="I40" s="13">
        <f>+I6/'[4]manip_POP_EU'!I7*1000000</f>
        <v>506.749598489758</v>
      </c>
      <c r="J40" s="13">
        <f>+J6/'[4]manip_POP_EU'!J7*1000000</f>
        <v>98.30747990643522</v>
      </c>
      <c r="K40" s="13">
        <f>+K6/'[4]manip_POP_EU'!K7*1000000</f>
        <v>728.9630573248407</v>
      </c>
      <c r="L40" s="13">
        <f>+L6/'[4]manip_POP_EU'!L7*1000000</f>
        <v>224.04381341415205</v>
      </c>
      <c r="M40" s="13">
        <f>+M6/'[4]manip_POP_EU'!M7*1000000</f>
        <v>249.891928103749</v>
      </c>
      <c r="N40" s="13">
        <f>+N6/'[4]manip_POP_EU'!N7*1000000</f>
        <v>287.60099320968885</v>
      </c>
      <c r="O40" s="13">
        <f>+O6/'[4]manip_POP_EU'!O7*1000000</f>
        <v>342.85819119397064</v>
      </c>
      <c r="P40" s="13">
        <f>+P6/'[4]manip_POP_EU'!P7*1000000</f>
        <v>492.2267453358824</v>
      </c>
      <c r="Q40" s="13">
        <f>+Q6/'[4]manip_POP_EU'!Q7*1000000</f>
        <v>205.1785332551805</v>
      </c>
    </row>
    <row r="41" spans="1:17" ht="11.25">
      <c r="A41" s="53">
        <v>1993</v>
      </c>
      <c r="B41" s="13">
        <f>+B7/'[4]manip_POP_EU'!B8*1000000</f>
        <v>176.3324037753191</v>
      </c>
      <c r="C41" s="13">
        <f>+C7/'[4]manip_POP_EU'!C8*1000000</f>
        <v>221.56110863205907</v>
      </c>
      <c r="D41" s="13">
        <f>+D7/'[4]manip_POP_EU'!D8*1000000</f>
        <v>364.6140461966247</v>
      </c>
      <c r="E41" s="13">
        <f>+E7/'[4]manip_POP_EU'!E8*1000000</f>
        <v>122.57119621469762</v>
      </c>
      <c r="F41" s="13">
        <f>+F7/'[4]manip_POP_EU'!F8*1000000</f>
        <v>261.174021969551</v>
      </c>
      <c r="G41" s="13">
        <f>+G7/'[4]manip_POP_EU'!G8*1000000</f>
        <v>142.58626512806077</v>
      </c>
      <c r="H41" s="13">
        <f>+H7/'[4]manip_POP_EU'!H8*1000000</f>
        <v>99.63154368839123</v>
      </c>
      <c r="I41" s="13">
        <f>+I7/'[4]manip_POP_EU'!I8*1000000</f>
        <v>466.15496870878115</v>
      </c>
      <c r="J41" s="13">
        <f>+J7/'[4]manip_POP_EU'!J8*1000000</f>
        <v>99.69850479412435</v>
      </c>
      <c r="K41" s="13">
        <f>+K7/'[4]manip_POP_EU'!K8*1000000</f>
        <v>729.5930670685757</v>
      </c>
      <c r="L41" s="13">
        <f>+L7/'[4]manip_POP_EU'!L8*1000000</f>
        <v>266.2746496848636</v>
      </c>
      <c r="M41" s="13">
        <f>+M7/'[4]manip_POP_EU'!M8*1000000</f>
        <v>247.55072917318648</v>
      </c>
      <c r="N41" s="13">
        <f>+N7/'[4]manip_POP_EU'!N8*1000000</f>
        <v>302.7934419593159</v>
      </c>
      <c r="O41" s="13">
        <f>+O7/'[4]manip_POP_EU'!O8*1000000</f>
        <v>405.27358863008294</v>
      </c>
      <c r="P41" s="13">
        <f>+P7/'[4]manip_POP_EU'!P8*1000000</f>
        <v>542.5132147690814</v>
      </c>
      <c r="Q41" s="13">
        <f>+Q7/'[4]manip_POP_EU'!Q8*1000000</f>
        <v>233.90316371947551</v>
      </c>
    </row>
    <row r="42" spans="1:17" ht="11.25">
      <c r="A42" s="53">
        <v>1994</v>
      </c>
      <c r="B42" s="13">
        <f>+B8/'[4]manip_POP_EU'!B9*1000000</f>
        <v>191.68702590839214</v>
      </c>
      <c r="C42" s="13">
        <f>+C8/'[4]manip_POP_EU'!C9*1000000</f>
        <v>259.7348649610502</v>
      </c>
      <c r="D42" s="13">
        <f>+D8/'[4]manip_POP_EU'!D9*1000000</f>
        <v>382.66611774392754</v>
      </c>
      <c r="E42" s="13">
        <f>+E8/'[4]manip_POP_EU'!E9*1000000</f>
        <v>132.50502968742333</v>
      </c>
      <c r="F42" s="13">
        <f>+F8/'[4]manip_POP_EU'!F9*1000000</f>
        <v>293.070976405141</v>
      </c>
      <c r="G42" s="13">
        <f>+G8/'[4]manip_POP_EU'!G9*1000000</f>
        <v>134.91395651840688</v>
      </c>
      <c r="H42" s="13">
        <f>+H8/'[4]manip_POP_EU'!H9*1000000</f>
        <v>109.82593147558497</v>
      </c>
      <c r="I42" s="13">
        <f>+I8/'[4]manip_POP_EU'!I9*1000000</f>
        <v>464.0045369255328</v>
      </c>
      <c r="J42" s="13">
        <f>+J8/'[4]manip_POP_EU'!J9*1000000</f>
        <v>111.72303921568627</v>
      </c>
      <c r="K42" s="13">
        <f>+K8/'[4]manip_POP_EU'!K9*1000000</f>
        <v>894.3784051510647</v>
      </c>
      <c r="L42" s="13">
        <f>+L8/'[4]manip_POP_EU'!L9*1000000</f>
        <v>323.17365499153834</v>
      </c>
      <c r="M42" s="13">
        <f>+M8/'[4]manip_POP_EU'!M9*1000000</f>
        <v>246.26982248520707</v>
      </c>
      <c r="N42" s="13">
        <f>+N8/'[4]manip_POP_EU'!N9*1000000</f>
        <v>284</v>
      </c>
      <c r="O42" s="13">
        <f>+O8/'[4]manip_POP_EU'!O9*1000000</f>
        <v>565.6325407742189</v>
      </c>
      <c r="P42" s="13">
        <f>+P8/'[4]manip_POP_EU'!P9*1000000</f>
        <v>567.089509622565</v>
      </c>
      <c r="Q42" s="13">
        <f>+Q8/'[4]manip_POP_EU'!Q9*1000000</f>
        <v>256.1583697234352</v>
      </c>
    </row>
    <row r="43" spans="1:17" ht="11.25">
      <c r="A43" s="53">
        <v>1995</v>
      </c>
      <c r="B43" s="13">
        <f>+B9/'[4]manip_POP_EU'!B10*1000000</f>
        <v>208.06502215551615</v>
      </c>
      <c r="C43" s="13">
        <f>+C9/'[4]manip_POP_EU'!C10*1000000</f>
        <v>314.02582669086894</v>
      </c>
      <c r="D43" s="13">
        <f>+D9/'[4]manip_POP_EU'!D10*1000000</f>
        <v>399.0484205924146</v>
      </c>
      <c r="E43" s="13">
        <f>+E9/'[4]manip_POP_EU'!E10*1000000</f>
        <v>146.67653903628033</v>
      </c>
      <c r="F43" s="13">
        <f>+F9/'[4]manip_POP_EU'!F10*1000000</f>
        <v>287.802925989673</v>
      </c>
      <c r="G43" s="13">
        <f>+G9/'[4]manip_POP_EU'!G10*1000000</f>
        <v>168.19507778627903</v>
      </c>
      <c r="H43" s="13">
        <f>+H9/'[4]manip_POP_EU'!H10*1000000</f>
        <v>101.58559228269137</v>
      </c>
      <c r="I43" s="13">
        <f>+I9/'[4]manip_POP_EU'!I10*1000000</f>
        <v>506.6104941699056</v>
      </c>
      <c r="J43" s="13">
        <f>+J9/'[4]manip_POP_EU'!J10*1000000</f>
        <v>120.30539822390043</v>
      </c>
      <c r="K43" s="13">
        <f>+K9/'[4]manip_POP_EU'!K10*1000000</f>
        <v>928.1416361416361</v>
      </c>
      <c r="L43" s="13">
        <f>+L9/'[4]manip_POP_EU'!L10*1000000</f>
        <v>331.22270375161713</v>
      </c>
      <c r="M43" s="13">
        <f>+M9/'[4]manip_POP_EU'!M10*1000000</f>
        <v>263.02162296508016</v>
      </c>
      <c r="N43" s="13">
        <f>+N9/'[4]manip_POP_EU'!N10*1000000</f>
        <v>297.5915180819986</v>
      </c>
      <c r="O43" s="13">
        <f>+O9/'[4]manip_POP_EU'!O10*1000000</f>
        <v>854.6450665622552</v>
      </c>
      <c r="P43" s="13">
        <f>+P9/'[4]manip_POP_EU'!P10*1000000</f>
        <v>590.597084944271</v>
      </c>
      <c r="Q43" s="13">
        <f>+Q9/'[4]manip_POP_EU'!Q10*1000000</f>
        <v>268.84423096611266</v>
      </c>
    </row>
    <row r="44" spans="1:17" ht="11.25">
      <c r="A44" s="53">
        <v>1996</v>
      </c>
      <c r="B44" s="13">
        <f>+B10/'[4]manip_POP_EU'!B11*1000000</f>
        <v>220.11724867011844</v>
      </c>
      <c r="C44" s="13">
        <f>+C10/'[4]manip_POP_EU'!C11*1000000</f>
        <v>326.11755439598306</v>
      </c>
      <c r="D44" s="13">
        <f>+D10/'[4]manip_POP_EU'!D11*1000000</f>
        <v>423.74143454417117</v>
      </c>
      <c r="E44" s="13">
        <f>+E10/'[4]manip_POP_EU'!E11*1000000</f>
        <v>154.050126965524</v>
      </c>
      <c r="F44" s="13">
        <f>+F10/'[4]manip_POP_EU'!F11*1000000</f>
        <v>300.65307875894985</v>
      </c>
      <c r="G44" s="13">
        <f>+G10/'[4]manip_POP_EU'!G11*1000000</f>
        <v>166.95164711484355</v>
      </c>
      <c r="H44" s="13">
        <f>+H10/'[4]manip_POP_EU'!H11*1000000</f>
        <v>112.25293833798641</v>
      </c>
      <c r="I44" s="13">
        <f>+I10/'[4]manip_POP_EU'!I11*1000000</f>
        <v>544.5401982378854</v>
      </c>
      <c r="J44" s="13">
        <f>+J10/'[4]manip_POP_EU'!J11*1000000</f>
        <v>136.4507319623562</v>
      </c>
      <c r="K44" s="13">
        <f>+K10/'[4]manip_POP_EU'!K11*1000000</f>
        <v>1013.1055228011069</v>
      </c>
      <c r="L44" s="13">
        <f>+L10/'[4]manip_POP_EU'!L11*1000000</f>
        <v>360.06876329187344</v>
      </c>
      <c r="M44" s="13">
        <f>+M10/'[4]manip_POP_EU'!M11*1000000</f>
        <v>262.0458868475157</v>
      </c>
      <c r="N44" s="13">
        <f>+N10/'[4]manip_POP_EU'!N11*1000000</f>
        <v>312.1986908358509</v>
      </c>
      <c r="O44" s="13">
        <f>+O10/'[4]manip_POP_EU'!O11*1000000</f>
        <v>868.8731707317073</v>
      </c>
      <c r="P44" s="13">
        <f>+P10/'[4]manip_POP_EU'!P11*1000000</f>
        <v>630.3650991098689</v>
      </c>
      <c r="Q44" s="13">
        <f>+Q10/'[4]manip_POP_EU'!Q11*1000000</f>
        <v>282.75359681643477</v>
      </c>
    </row>
    <row r="45" spans="1:17" ht="11.25">
      <c r="A45" s="53">
        <v>1997</v>
      </c>
      <c r="B45" s="13">
        <f>+B11/'[4]manip_POP_EU'!B12*1000000</f>
        <v>241.82347417950896</v>
      </c>
      <c r="C45" s="13">
        <f>+C11/'[4]manip_POP_EU'!C12*1000000</f>
        <v>444.36077006188</v>
      </c>
      <c r="D45" s="13">
        <f>+D11/'[4]manip_POP_EU'!D12*1000000</f>
        <v>461.5330712412212</v>
      </c>
      <c r="E45" s="13">
        <f>+E11/'[4]manip_POP_EU'!E12*1000000</f>
        <v>170.9442555835801</v>
      </c>
      <c r="F45" s="13">
        <f>+F11/'[4]manip_POP_EU'!F12*1000000</f>
        <v>336.90816423740114</v>
      </c>
      <c r="G45" s="13">
        <f>+G11/'[4]manip_POP_EU'!G12*1000000</f>
        <v>173.54817791114615</v>
      </c>
      <c r="H45" s="13">
        <f>+H11/'[4]manip_POP_EU'!H12*1000000</f>
        <v>135.23323254535458</v>
      </c>
      <c r="I45" s="13">
        <f>+I11/'[4]manip_POP_EU'!I12*1000000</f>
        <v>598.7553133514986</v>
      </c>
      <c r="J45" s="13">
        <f>+J11/'[4]manip_POP_EU'!J12*1000000</f>
        <v>137.30528658101977</v>
      </c>
      <c r="K45" s="13">
        <f>+K11/'[4]manip_POP_EU'!K12*1000000</f>
        <v>1059.432977461447</v>
      </c>
      <c r="L45" s="13">
        <f>+L11/'[4]manip_POP_EU'!L12*1000000</f>
        <v>417.5840328057923</v>
      </c>
      <c r="M45" s="13">
        <f>+M11/'[4]manip_POP_EU'!M12*1000000</f>
        <v>270.628008790686</v>
      </c>
      <c r="N45" s="13">
        <f>+N11/'[4]manip_POP_EU'!N12*1000000</f>
        <v>335.7641025641026</v>
      </c>
      <c r="O45" s="13">
        <f>+O11/'[4]manip_POP_EU'!O12*1000000</f>
        <v>996.9905677997758</v>
      </c>
      <c r="P45" s="13">
        <f>+P11/'[4]manip_POP_EU'!P12*1000000</f>
        <v>688.9820953965125</v>
      </c>
      <c r="Q45" s="13">
        <f>+Q11/'[4]manip_POP_EU'!Q12*1000000</f>
        <v>294.2635869104713</v>
      </c>
    </row>
    <row r="46" spans="1:17" ht="11.25">
      <c r="A46" s="53">
        <v>1998</v>
      </c>
      <c r="B46" s="13">
        <f>+B12/'[4]manip_POP_EU'!B13*1000000</f>
        <v>258.99448121071373</v>
      </c>
      <c r="C46" s="13">
        <f>+C12/'[4]manip_POP_EU'!C13*1000000</f>
        <v>556.3362736450065</v>
      </c>
      <c r="D46" s="13">
        <f>+D12/'[4]manip_POP_EU'!D13*1000000</f>
        <v>472.9106637561646</v>
      </c>
      <c r="E46" s="13">
        <f>+E12/'[4]manip_POP_EU'!E13*1000000</f>
        <v>190.2682121223201</v>
      </c>
      <c r="F46" s="13">
        <f>+F12/'[4]manip_POP_EU'!F13*1000000</f>
        <v>310.85183071802186</v>
      </c>
      <c r="G46" s="13">
        <f>+G12/'[4]manip_POP_EU'!G13*1000000</f>
        <v>191.08087170760203</v>
      </c>
      <c r="H46" s="13">
        <f>+H12/'[4]manip_POP_EU'!H13*1000000</f>
        <v>137.5630329805815</v>
      </c>
      <c r="I46" s="13">
        <f>+I12/'[4]manip_POP_EU'!I13*1000000</f>
        <v>650.2815193965516</v>
      </c>
      <c r="J46" s="13">
        <f>+J12/'[4]manip_POP_EU'!J13*1000000</f>
        <v>129.3260922414392</v>
      </c>
      <c r="K46" s="13">
        <f>+K12/'[4]manip_POP_EU'!K13*1000000</f>
        <v>1064.090482887951</v>
      </c>
      <c r="L46" s="13">
        <f>+L12/'[4]manip_POP_EU'!L13*1000000</f>
        <v>444.9076952478023</v>
      </c>
      <c r="M46" s="13">
        <f>+M12/'[4]manip_POP_EU'!M13*1000000</f>
        <v>302.3916716696892</v>
      </c>
      <c r="N46" s="13">
        <f>+N12/'[4]manip_POP_EU'!N13*1000000</f>
        <v>349.22502006420547</v>
      </c>
      <c r="O46" s="13">
        <f>+O12/'[4]manip_POP_EU'!O13*1000000</f>
        <v>1156.1925092179313</v>
      </c>
      <c r="P46" s="13">
        <f>+P12/'[4]manip_POP_EU'!P13*1000000</f>
        <v>708.0196763854325</v>
      </c>
      <c r="Q46" s="13">
        <f>+Q12/'[4]manip_POP_EU'!Q13*1000000</f>
        <v>319.68066829803394</v>
      </c>
    </row>
    <row r="47" spans="1:17" ht="11.25">
      <c r="A47" s="53">
        <v>1999</v>
      </c>
      <c r="B47" s="13">
        <f>+B13/'[4]manip_POP_EU'!B14*1000000</f>
        <v>262.8080646684203</v>
      </c>
      <c r="C47" s="13">
        <f>+C13/'[4]manip_POP_EU'!C14*1000000</f>
        <v>636.9280265988656</v>
      </c>
      <c r="D47" s="13">
        <f>+D13/'[4]manip_POP_EU'!D14*1000000</f>
        <v>469.7416807670615</v>
      </c>
      <c r="E47" s="13">
        <f>+E13/'[4]manip_POP_EU'!E14*1000000</f>
        <v>203.84055940648335</v>
      </c>
      <c r="F47" s="13">
        <f>+F13/'[4]manip_POP_EU'!F14*1000000</f>
        <v>308.00616815334973</v>
      </c>
      <c r="G47" s="13">
        <f>+G13/'[4]manip_POP_EU'!G14*1000000</f>
        <v>200.46747678725455</v>
      </c>
      <c r="H47" s="13">
        <f>+H13/'[4]manip_POP_EU'!H14*1000000</f>
        <v>160.04274991470487</v>
      </c>
      <c r="I47" s="13">
        <f>+I13/'[4]manip_POP_EU'!I14*1000000</f>
        <v>732.8859275053305</v>
      </c>
      <c r="J47" s="13">
        <f>+J13/'[4]manip_POP_EU'!J14*1000000</f>
        <v>126.47913124934948</v>
      </c>
      <c r="K47" s="13">
        <f>+K13/'[4]manip_POP_EU'!K14*1000000</f>
        <v>1278.0694444444446</v>
      </c>
      <c r="L47" s="13">
        <f>+L13/'[4]manip_POP_EU'!L14*1000000</f>
        <v>471.1030686491617</v>
      </c>
      <c r="M47" s="13">
        <f>+M13/'[4]manip_POP_EU'!M14*1000000</f>
        <v>290.14217306682315</v>
      </c>
      <c r="N47" s="13">
        <f>+N13/'[4]manip_POP_EU'!N14*1000000</f>
        <v>350.6717389128041</v>
      </c>
      <c r="O47" s="13">
        <f>+O13/'[4]manip_POP_EU'!O14*1000000</f>
        <v>662.8567279767667</v>
      </c>
      <c r="P47" s="13">
        <f>+P13/'[4]manip_POP_EU'!P14*1000000</f>
        <v>705.217106600131</v>
      </c>
      <c r="Q47" s="13">
        <f>+Q13/'[4]manip_POP_EU'!Q14*1000000</f>
        <v>316.58643818832996</v>
      </c>
    </row>
    <row r="48" spans="1:17" ht="11.25">
      <c r="A48" s="6">
        <v>2000</v>
      </c>
      <c r="B48" s="13">
        <f>+B14/'[4]manip_POP_EU'!B15*1000000</f>
        <v>283.5796265850909</v>
      </c>
      <c r="C48" s="13">
        <f>+C14/'[4]manip_POP_EU'!C15*1000000</f>
        <v>704.7867733125244</v>
      </c>
      <c r="D48" s="13">
        <f>+D14/'[4]manip_POP_EU'!D15*1000000</f>
        <v>500.9483294067253</v>
      </c>
      <c r="E48" s="13">
        <f>+E14/'[4]manip_POP_EU'!E15*1000000</f>
        <v>219.90258064516127</v>
      </c>
      <c r="F48" s="13">
        <f>+F14/'[4]manip_POP_EU'!F15*1000000</f>
        <v>354.0513257575758</v>
      </c>
      <c r="G48" s="13">
        <f>+G14/'[4]manip_POP_EU'!G15*1000000</f>
        <v>236.22290637273534</v>
      </c>
      <c r="H48" s="13">
        <f>+H14/'[4]manip_POP_EU'!H15*1000000</f>
        <v>175.9594172383346</v>
      </c>
      <c r="I48" s="13">
        <f>+I14/'[4]manip_POP_EU'!I15*1000000</f>
        <v>758.7730627306272</v>
      </c>
      <c r="J48" s="13">
        <f>+J14/'[4]manip_POP_EU'!J15*1000000</f>
        <v>134.50157739642918</v>
      </c>
      <c r="K48" s="13">
        <f>+K14/'[4]manip_POP_EU'!K15*1000000</f>
        <v>1271.275091240876</v>
      </c>
      <c r="L48" s="13">
        <f>+L14/'[4]manip_POP_EU'!L15*1000000</f>
        <v>511.34681826747914</v>
      </c>
      <c r="M48" s="13">
        <f>+M14/'[4]manip_POP_EU'!M15*1000000</f>
        <v>300.0991339343842</v>
      </c>
      <c r="N48" s="13">
        <f>+N14/'[4]manip_POP_EU'!N15*1000000</f>
        <v>396.36270983213427</v>
      </c>
      <c r="O48" s="13">
        <f>+O14/'[4]manip_POP_EU'!O15*1000000</f>
        <v>668.8723198763763</v>
      </c>
      <c r="P48" s="13">
        <f>+P14/'[4]manip_POP_EU'!P15*1000000</f>
        <v>753.4841260892676</v>
      </c>
      <c r="Q48" s="13">
        <f>+Q14/'[4]manip_POP_EU'!Q15*1000000</f>
        <v>325.9195264727004</v>
      </c>
    </row>
  </sheetData>
  <conditionalFormatting sqref="B5:B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A1:Q38"/>
  <sheetViews>
    <sheetView workbookViewId="0" topLeftCell="A1">
      <selection activeCell="P4" sqref="P4:P15"/>
    </sheetView>
  </sheetViews>
  <sheetFormatPr defaultColWidth="9.140625" defaultRowHeight="12.75"/>
  <cols>
    <col min="1" max="1" width="8.28125" style="6" customWidth="1"/>
    <col min="2" max="18" width="6.8515625" style="6" customWidth="1"/>
    <col min="19" max="16384" width="9.140625" style="6" customWidth="1"/>
  </cols>
  <sheetData>
    <row r="1" spans="1:17" ht="11.25">
      <c r="A1" s="2" t="s">
        <v>136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1.25">
      <c r="A4" s="106"/>
      <c r="B4" s="106" t="s">
        <v>5</v>
      </c>
      <c r="C4" s="106" t="s">
        <v>7</v>
      </c>
      <c r="D4" s="106" t="s">
        <v>8</v>
      </c>
      <c r="E4" s="106" t="s">
        <v>9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06" t="s">
        <v>15</v>
      </c>
      <c r="L4" s="106" t="s">
        <v>16</v>
      </c>
      <c r="M4" s="106" t="s">
        <v>17</v>
      </c>
      <c r="N4" s="106" t="s">
        <v>18</v>
      </c>
      <c r="O4" s="106" t="s">
        <v>19</v>
      </c>
      <c r="P4" s="106" t="s">
        <v>20</v>
      </c>
      <c r="Q4" s="106" t="s">
        <v>21</v>
      </c>
    </row>
    <row r="5" spans="1:17" ht="11.25">
      <c r="A5" s="107">
        <v>1991</v>
      </c>
      <c r="B5" s="28">
        <f>IF(manip_aviation!B7=":",NA(),manip_aviation!B7)</f>
        <v>28.334401</v>
      </c>
      <c r="C5" s="28">
        <f>IF(manip_aviation!C7=":",NA(),manip_aviation!C7)</f>
        <v>0</v>
      </c>
      <c r="D5" s="28">
        <f>IF(manip_aviation!D7=":",NA(),manip_aviation!D7)</f>
        <v>0.8478402857142857</v>
      </c>
      <c r="E5" s="28">
        <f>IF(manip_aviation!E7=":",NA(),manip_aviation!E7)</f>
        <v>4.076911</v>
      </c>
      <c r="F5" s="28">
        <f>IF(manip_aviation!F7=":",NA(),manip_aviation!F7)</f>
        <v>0.962722</v>
      </c>
      <c r="G5" s="28">
        <f>IF(manip_aviation!G7=":",NA(),manip_aviation!G7)</f>
        <v>4.90611</v>
      </c>
      <c r="H5" s="28">
        <f>IF(manip_aviation!H7=":",NA(),manip_aviation!H7)</f>
        <v>8.386356</v>
      </c>
      <c r="I5" s="28">
        <f>IF(manip_aviation!I7=":",NA(),manip_aviation!I7)</f>
        <v>0.061381</v>
      </c>
      <c r="J5" s="28">
        <f>IF(manip_aviation!J7=":",NA(),manip_aviation!J7)</f>
        <v>1.8311520000000001</v>
      </c>
      <c r="K5" s="28">
        <f>IF(manip_aviation!K7=":",NA(),manip_aviation!K7)</f>
        <v>0</v>
      </c>
      <c r="L5" s="28">
        <f>IF(manip_aviation!L7=":",NA(),manip_aviation!L7)</f>
        <v>0.00209</v>
      </c>
      <c r="M5" s="28">
        <f>IF(manip_aviation!M7=":",NA(),manip_aviation!M7)</f>
        <v>6.2E-05</v>
      </c>
      <c r="N5" s="28">
        <f>IF(manip_aviation!N7=":",NA(),manip_aviation!N7)</f>
        <v>0.825006</v>
      </c>
      <c r="O5" s="28">
        <f>IF(manip_aviation!O7=":",NA(),manip_aviation!O7)</f>
        <v>0.7343160000000001</v>
      </c>
      <c r="P5" s="28">
        <f>IF(manip_aviation!P7=":",NA(),manip_aviation!P7)</f>
        <v>2.1196007142857143</v>
      </c>
      <c r="Q5" s="28">
        <f>IF(manip_aviation!Q7=":",NA(),manip_aviation!Q7)</f>
        <v>3.580854</v>
      </c>
    </row>
    <row r="6" spans="1:17" ht="11.25">
      <c r="A6" s="107">
        <v>1992</v>
      </c>
      <c r="B6" s="28">
        <f>IF(manip_aviation!B8=":",NA(),manip_aviation!B8)</f>
        <v>31.171726999999997</v>
      </c>
      <c r="C6" s="28">
        <f>IF(manip_aviation!C8=":",NA(),manip_aviation!C8)</f>
        <v>0</v>
      </c>
      <c r="D6" s="28">
        <f>IF(manip_aviation!D8=":",NA(),manip_aviation!D8)</f>
        <v>0.848432</v>
      </c>
      <c r="E6" s="28">
        <f>IF(manip_aviation!E8=":",NA(),manip_aviation!E8)</f>
        <v>4.590495</v>
      </c>
      <c r="F6" s="28">
        <f>IF(manip_aviation!F8=":",NA(),manip_aviation!F8)</f>
        <v>0.999421</v>
      </c>
      <c r="G6" s="28">
        <f>IF(manip_aviation!G8=":",NA(),manip_aviation!G8)</f>
        <v>6.083527</v>
      </c>
      <c r="H6" s="28">
        <f>IF(manip_aviation!H8=":",NA(),manip_aviation!H8)</f>
        <v>7.288483</v>
      </c>
      <c r="I6" s="28">
        <f>IF(manip_aviation!I8=":",NA(),manip_aviation!I8)</f>
        <v>0.06069</v>
      </c>
      <c r="J6" s="28">
        <f>IF(manip_aviation!J8=":",NA(),manip_aviation!J8)</f>
        <v>2.029112</v>
      </c>
      <c r="K6" s="28">
        <f>IF(manip_aviation!K8=":",NA(),manip_aviation!K8)</f>
        <v>0</v>
      </c>
      <c r="L6" s="28">
        <f>IF(manip_aviation!L8=":",NA(),manip_aviation!L8)</f>
        <v>0</v>
      </c>
      <c r="M6" s="28">
        <f>IF(manip_aviation!M8=":",NA(),manip_aviation!M8)</f>
        <v>9.4E-05</v>
      </c>
      <c r="N6" s="28">
        <f>IF(manip_aviation!N8=":",NA(),manip_aviation!N8)</f>
        <v>0.8787590000000001</v>
      </c>
      <c r="O6" s="28">
        <f>IF(manip_aviation!O8=":",NA(),manip_aviation!O8)</f>
        <v>0.6910499999999999</v>
      </c>
      <c r="P6" s="28">
        <f>IF(manip_aviation!P8=":",NA(),manip_aviation!P8)</f>
        <v>2.12108</v>
      </c>
      <c r="Q6" s="28">
        <f>IF(manip_aviation!Q8=":",NA(),manip_aviation!Q8)</f>
        <v>5.580584</v>
      </c>
    </row>
    <row r="7" spans="1:17" ht="11.25">
      <c r="A7" s="107">
        <v>1993</v>
      </c>
      <c r="B7" s="28">
        <f>IF(manip_aviation!B9=":",NA(),manip_aviation!B9)</f>
        <v>32.05600700000001</v>
      </c>
      <c r="C7" s="28">
        <f>IF(manip_aviation!C9=":",NA(),manip_aviation!C9)</f>
        <v>0</v>
      </c>
      <c r="D7" s="28">
        <f>IF(manip_aviation!D9=":",NA(),manip_aviation!D9)</f>
        <v>1.2198502857142857</v>
      </c>
      <c r="E7" s="28">
        <f>IF(manip_aviation!E9=":",NA(),manip_aviation!E9)</f>
        <v>4.919398</v>
      </c>
      <c r="F7" s="28">
        <f>IF(manip_aviation!F9=":",NA(),manip_aviation!F9)</f>
        <v>0.935138</v>
      </c>
      <c r="G7" s="28">
        <f>IF(manip_aviation!G9=":",NA(),manip_aviation!G9)</f>
        <v>5.372876</v>
      </c>
      <c r="H7" s="28">
        <f>IF(manip_aviation!H9=":",NA(),manip_aviation!H9)</f>
        <v>7.149203000000001</v>
      </c>
      <c r="I7" s="28">
        <f>IF(manip_aviation!I9=":",NA(),manip_aviation!I9)</f>
        <v>0.05189800000000001</v>
      </c>
      <c r="J7" s="28">
        <f>IF(manip_aviation!J9=":",NA(),manip_aviation!J9)</f>
        <v>1.826519</v>
      </c>
      <c r="K7" s="28">
        <f>IF(manip_aviation!K9=":",NA(),manip_aviation!K9)</f>
        <v>0</v>
      </c>
      <c r="L7" s="28">
        <f>IF(manip_aviation!L9=":",NA(),manip_aviation!L9)</f>
        <v>0.002876</v>
      </c>
      <c r="M7" s="28">
        <f>IF(manip_aviation!M9=":",NA(),manip_aviation!M9)</f>
        <v>7.5E-05</v>
      </c>
      <c r="N7" s="28">
        <f>IF(manip_aviation!N9=":",NA(),manip_aviation!N9)</f>
        <v>0.896882</v>
      </c>
      <c r="O7" s="28">
        <f>IF(manip_aviation!O9=":",NA(),manip_aviation!O9)</f>
        <v>0.6050249999999999</v>
      </c>
      <c r="P7" s="28">
        <f>IF(manip_aviation!P9=":",NA(),manip_aviation!P9)</f>
        <v>3.0496257142857144</v>
      </c>
      <c r="Q7" s="28">
        <f>IF(manip_aviation!Q9=":",NA(),manip_aviation!Q9)</f>
        <v>6.026641</v>
      </c>
    </row>
    <row r="8" spans="1:17" ht="11.25">
      <c r="A8" s="107">
        <v>1994</v>
      </c>
      <c r="B8" s="28">
        <f>IF(manip_aviation!B10=":",NA(),manip_aviation!B10)</f>
        <v>33.077872</v>
      </c>
      <c r="C8" s="28">
        <f>IF(manip_aviation!C10=":",NA(),manip_aviation!C10)</f>
        <v>0</v>
      </c>
      <c r="D8" s="28">
        <f>IF(manip_aviation!D10=":",NA(),manip_aviation!D10)</f>
        <v>1.188923142857143</v>
      </c>
      <c r="E8" s="28">
        <f>IF(manip_aviation!E10=":",NA(),manip_aviation!E10)</f>
        <v>4.870856</v>
      </c>
      <c r="F8" s="28">
        <f>IF(manip_aviation!F10=":",NA(),manip_aviation!F10)</f>
        <v>0.97572</v>
      </c>
      <c r="G8" s="28">
        <f>IF(manip_aviation!G10=":",NA(),manip_aviation!G10)</f>
        <v>4.928428</v>
      </c>
      <c r="H8" s="28">
        <f>IF(manip_aviation!H10=":",NA(),manip_aviation!H10)</f>
        <v>7.9688419999999995</v>
      </c>
      <c r="I8" s="28">
        <f>IF(manip_aviation!I10=":",NA(),manip_aviation!I10)</f>
        <v>0.057902</v>
      </c>
      <c r="J8" s="28">
        <f>IF(manip_aviation!J10=":",NA(),manip_aviation!J10)</f>
        <v>2.347054</v>
      </c>
      <c r="K8" s="28">
        <f>IF(manip_aviation!K10=":",NA(),manip_aviation!K10)</f>
        <v>0</v>
      </c>
      <c r="L8" s="28">
        <f>IF(manip_aviation!L10=":",NA(),manip_aviation!L10)</f>
        <v>0.004242</v>
      </c>
      <c r="M8" s="28">
        <f>IF(manip_aviation!M10=":",NA(),manip_aviation!M10)</f>
        <v>0.0010609999999999999</v>
      </c>
      <c r="N8" s="28">
        <f>IF(manip_aviation!N10=":",NA(),manip_aviation!N10)</f>
        <v>0.9698289999999999</v>
      </c>
      <c r="O8" s="28">
        <f>IF(manip_aviation!O10=":",NA(),manip_aviation!O10)</f>
        <v>0.618691</v>
      </c>
      <c r="P8" s="28">
        <f>IF(manip_aviation!P10=":",NA(),manip_aviation!P10)</f>
        <v>2.9723078571428574</v>
      </c>
      <c r="Q8" s="28">
        <f>IF(manip_aviation!Q10=":",NA(),manip_aviation!Q10)</f>
        <v>6.174016</v>
      </c>
    </row>
    <row r="9" spans="1:17" ht="11.25">
      <c r="A9" s="107">
        <v>1995</v>
      </c>
      <c r="B9" s="28">
        <f>IF(manip_aviation!B11=":",NA(),manip_aviation!B11)</f>
        <v>28.42834</v>
      </c>
      <c r="C9" s="28">
        <f>IF(manip_aviation!C11=":",NA(),manip_aviation!C11)</f>
        <v>0</v>
      </c>
      <c r="D9" s="28">
        <f>IF(manip_aviation!D11=":",NA(),manip_aviation!D11)</f>
        <v>1.1256397142857142</v>
      </c>
      <c r="E9" s="28">
        <f>IF(manip_aviation!E11=":",NA(),manip_aviation!E11)</f>
        <v>5.1207780000000005</v>
      </c>
      <c r="F9" s="28">
        <f>IF(manip_aviation!F11=":",NA(),manip_aviation!F11)</f>
        <v>1.0496500000000002</v>
      </c>
      <c r="G9" s="28">
        <f>IF(manip_aviation!G11=":",NA(),manip_aviation!G11)</f>
        <v>3.937872</v>
      </c>
      <c r="H9" s="28">
        <f>IF(manip_aviation!H11=":",NA(),manip_aviation!H11)</f>
        <v>0.41581799999999997</v>
      </c>
      <c r="I9" s="28">
        <f>IF(manip_aviation!I11=":",NA(),manip_aviation!I11)</f>
        <v>0.071865</v>
      </c>
      <c r="J9" s="28">
        <f>IF(manip_aviation!J11=":",NA(),manip_aviation!J11)</f>
        <v>5.598741</v>
      </c>
      <c r="K9" s="28">
        <f>IF(manip_aviation!K11=":",NA(),manip_aviation!K11)</f>
        <v>0</v>
      </c>
      <c r="L9" s="28">
        <f>IF(manip_aviation!L11=":",NA(),manip_aviation!L11)</f>
        <v>0.004823</v>
      </c>
      <c r="M9" s="28">
        <f>IF(manip_aviation!M11=":",NA(),manip_aviation!M11)</f>
        <v>0.0011020000000000001</v>
      </c>
      <c r="N9" s="28">
        <f>IF(manip_aviation!N11=":",NA(),manip_aviation!N11)</f>
        <v>1.112949</v>
      </c>
      <c r="O9" s="28">
        <f>IF(manip_aviation!O11=":",NA(),manip_aviation!O11)</f>
        <v>0.6811889999999999</v>
      </c>
      <c r="P9" s="28">
        <f>IF(manip_aviation!P11=":",NA(),manip_aviation!P11)</f>
        <v>2.8140992857142857</v>
      </c>
      <c r="Q9" s="28">
        <f>IF(manip_aviation!Q11=":",NA(),manip_aviation!Q11)</f>
        <v>6.493814</v>
      </c>
    </row>
    <row r="10" spans="1:17" ht="11.25">
      <c r="A10" s="107">
        <v>1996</v>
      </c>
      <c r="B10" s="28">
        <f>IF(manip_aviation!B12=":",NA(),manip_aviation!B12)</f>
        <v>30.815857</v>
      </c>
      <c r="C10" s="28">
        <f>IF(manip_aviation!C12=":",NA(),manip_aviation!C12)</f>
        <v>0</v>
      </c>
      <c r="D10" s="28">
        <f>IF(manip_aviation!D12=":",NA(),manip_aviation!D12)</f>
        <v>1.163788</v>
      </c>
      <c r="E10" s="28">
        <f>IF(manip_aviation!E12=":",NA(),manip_aviation!E12)</f>
        <v>4.974035</v>
      </c>
      <c r="F10" s="28">
        <f>IF(manip_aviation!F12=":",NA(),manip_aviation!F12)</f>
        <v>1.106457</v>
      </c>
      <c r="G10" s="28">
        <f>IF(manip_aviation!G12=":",NA(),manip_aviation!G12)</f>
        <v>5.059035</v>
      </c>
      <c r="H10" s="28">
        <f>IF(manip_aviation!H12=":",NA(),manip_aviation!H12)</f>
        <v>0.5096229999999999</v>
      </c>
      <c r="I10" s="28">
        <f>IF(manip_aviation!I12=":",NA(),manip_aviation!I12)</f>
        <v>0.06798799999999999</v>
      </c>
      <c r="J10" s="28">
        <f>IF(manip_aviation!J12=":",NA(),manip_aviation!J12)</f>
        <v>6.27754</v>
      </c>
      <c r="K10" s="28">
        <f>IF(manip_aviation!K12=":",NA(),manip_aviation!K12)</f>
        <v>0</v>
      </c>
      <c r="L10" s="28">
        <f>IF(manip_aviation!L12=":",NA(),manip_aviation!L12)</f>
        <v>0</v>
      </c>
      <c r="M10" s="28">
        <f>IF(manip_aviation!M12=":",NA(),manip_aviation!M12)</f>
        <v>0.0027890000000000002</v>
      </c>
      <c r="N10" s="28">
        <f>IF(manip_aviation!N12=":",NA(),manip_aviation!N12)</f>
        <v>1.155726</v>
      </c>
      <c r="O10" s="28">
        <f>IF(manip_aviation!O12=":",NA(),manip_aviation!O12)</f>
        <v>0.824886</v>
      </c>
      <c r="P10" s="28">
        <f>IF(manip_aviation!P12=":",NA(),manip_aviation!P12)</f>
        <v>2.90947</v>
      </c>
      <c r="Q10" s="28">
        <f>IF(manip_aviation!Q12=":",NA(),manip_aviation!Q12)</f>
        <v>6.76452</v>
      </c>
    </row>
    <row r="11" spans="1:17" ht="11.25">
      <c r="A11" s="107">
        <v>1997</v>
      </c>
      <c r="B11" s="28">
        <f>IF(manip_aviation!B13=":",NA(),manip_aviation!B13)</f>
        <v>38.426491999999996</v>
      </c>
      <c r="C11" s="28">
        <f>IF(manip_aviation!C13=":",NA(),manip_aviation!C13)</f>
        <v>0</v>
      </c>
      <c r="D11" s="28">
        <f>IF(manip_aviation!D13=":",NA(),manip_aviation!D13)</f>
        <v>1.1740648571428571</v>
      </c>
      <c r="E11" s="28">
        <f>IF(manip_aviation!E13=":",NA(),manip_aviation!E13)</f>
        <v>4.812118000000001</v>
      </c>
      <c r="F11" s="28">
        <f>IF(manip_aviation!F13=":",NA(),manip_aviation!F13)</f>
        <v>1.234319</v>
      </c>
      <c r="G11" s="28">
        <f>IF(manip_aviation!G13=":",NA(),manip_aviation!G13)</f>
        <v>5.53991</v>
      </c>
      <c r="H11" s="28">
        <f>IF(manip_aviation!H13=":",NA(),manip_aviation!H13)</f>
        <v>8.576786</v>
      </c>
      <c r="I11" s="28">
        <f>IF(manip_aviation!I13=":",NA(),manip_aviation!I13)</f>
        <v>0.05916299999999999</v>
      </c>
      <c r="J11" s="28">
        <f>IF(manip_aviation!J13=":",NA(),manip_aviation!J13)</f>
        <v>7.047198000000001</v>
      </c>
      <c r="K11" s="28">
        <f>IF(manip_aviation!K13=":",NA(),manip_aviation!K13)</f>
        <v>0</v>
      </c>
      <c r="L11" s="28">
        <f>IF(manip_aviation!L13=":",NA(),manip_aviation!L13)</f>
        <v>0</v>
      </c>
      <c r="M11" s="28">
        <f>IF(manip_aviation!M13=":",NA(),manip_aviation!M13)</f>
        <v>0.001915</v>
      </c>
      <c r="N11" s="28">
        <f>IF(manip_aviation!N13=":",NA(),manip_aviation!N13)</f>
        <v>1.219506</v>
      </c>
      <c r="O11" s="28">
        <f>IF(manip_aviation!O13=":",NA(),manip_aviation!O13)</f>
        <v>1.0997139999999999</v>
      </c>
      <c r="P11" s="28">
        <f>IF(manip_aviation!P13=":",NA(),manip_aviation!P13)</f>
        <v>2.935162142857143</v>
      </c>
      <c r="Q11" s="28">
        <f>IF(manip_aviation!Q13=":",NA(),manip_aviation!Q13)</f>
        <v>4.726636</v>
      </c>
    </row>
    <row r="12" spans="1:17" ht="11.25">
      <c r="A12" s="107">
        <v>1998</v>
      </c>
      <c r="B12" s="28">
        <f>IF(manip_aviation!B14=":",NA(),manip_aviation!B14)</f>
        <v>42.672391000000005</v>
      </c>
      <c r="C12" s="28">
        <f>IF(manip_aviation!C14=":",NA(),manip_aviation!C14)</f>
        <v>0</v>
      </c>
      <c r="D12" s="28">
        <f>IF(manip_aviation!D14=":",NA(),manip_aviation!D14)</f>
        <v>1.247356857142857</v>
      </c>
      <c r="E12" s="28">
        <f>IF(manip_aviation!E14=":",NA(),manip_aviation!E14)</f>
        <v>5.230647</v>
      </c>
      <c r="F12" s="28">
        <f>IF(manip_aviation!F14=":",NA(),manip_aviation!F14)</f>
        <v>1.105692</v>
      </c>
      <c r="G12" s="28">
        <f>IF(manip_aviation!G14=":",NA(),manip_aviation!G14)</f>
        <v>8.614377000000001</v>
      </c>
      <c r="H12" s="28">
        <f>IF(manip_aviation!H14=":",NA(),manip_aviation!H14)</f>
        <v>8.642653000000001</v>
      </c>
      <c r="I12" s="28">
        <f>IF(manip_aviation!I14=":",NA(),manip_aviation!I14)</f>
        <v>0.068304</v>
      </c>
      <c r="J12" s="28">
        <f>IF(manip_aviation!J14=":",NA(),manip_aviation!J14)</f>
        <v>7.094752000000001</v>
      </c>
      <c r="K12" s="28">
        <f>IF(manip_aviation!K14=":",NA(),manip_aviation!K14)</f>
        <v>0</v>
      </c>
      <c r="L12" s="28">
        <f>IF(manip_aviation!L14=":",NA(),manip_aviation!L14)</f>
        <v>0</v>
      </c>
      <c r="M12" s="28">
        <f>IF(manip_aviation!M14=":",NA(),manip_aviation!M14)</f>
        <v>0.001589</v>
      </c>
      <c r="N12" s="28">
        <f>IF(manip_aviation!N14=":",NA(),manip_aviation!N14)</f>
        <v>1.381534</v>
      </c>
      <c r="O12" s="28">
        <f>IF(manip_aviation!O14=":",NA(),manip_aviation!O14)</f>
        <v>1.2464680000000001</v>
      </c>
      <c r="P12" s="28">
        <f>IF(manip_aviation!P14=":",NA(),manip_aviation!P14)</f>
        <v>3.118392142857143</v>
      </c>
      <c r="Q12" s="28">
        <f>IF(manip_aviation!Q14=":",NA(),manip_aviation!Q14)</f>
        <v>4.920626</v>
      </c>
    </row>
    <row r="13" spans="1:17" ht="11.25">
      <c r="A13" s="107">
        <v>1999</v>
      </c>
      <c r="B13" s="28">
        <f>IF(manip_aviation!B15=":",NA(),manip_aviation!B15)</f>
        <v>46.399015</v>
      </c>
      <c r="C13" s="28">
        <f>IF(manip_aviation!C15=":",NA(),manip_aviation!C15)</f>
        <v>0</v>
      </c>
      <c r="D13" s="28">
        <f>IF(manip_aviation!D15=":",NA(),manip_aviation!D15)</f>
        <v>1.3063788571428572</v>
      </c>
      <c r="E13" s="28">
        <f>IF(manip_aviation!E15=":",NA(),manip_aviation!E15)</f>
        <v>5.649101</v>
      </c>
      <c r="F13" s="28">
        <f>IF(manip_aviation!F15=":",NA(),manip_aviation!F15)</f>
        <v>1.072293</v>
      </c>
      <c r="G13" s="28">
        <f>IF(manip_aviation!G15=":",NA(),manip_aviation!G15)</f>
        <v>11.463121</v>
      </c>
      <c r="H13" s="28">
        <f>IF(manip_aviation!H15=":",NA(),manip_aviation!H15)</f>
        <v>9.223797000000001</v>
      </c>
      <c r="I13" s="28">
        <f>IF(manip_aviation!I15=":",NA(),manip_aviation!I15)</f>
        <v>0.07295900000000001</v>
      </c>
      <c r="J13" s="28">
        <f>IF(manip_aviation!J15=":",NA(),manip_aviation!J15)</f>
        <v>7.031973</v>
      </c>
      <c r="K13" s="28">
        <f>IF(manip_aviation!K15=":",NA(),manip_aviation!K15)</f>
        <v>0</v>
      </c>
      <c r="L13" s="28">
        <f>IF(manip_aviation!L15=":",NA(),manip_aviation!L15)</f>
        <v>0</v>
      </c>
      <c r="M13" s="28">
        <f>IF(manip_aviation!M15=":",NA(),manip_aviation!M15)</f>
        <v>0.003251</v>
      </c>
      <c r="N13" s="28">
        <f>IF(manip_aviation!N15=":",NA(),manip_aviation!N15)</f>
        <v>1.242308</v>
      </c>
      <c r="O13" s="28">
        <f>IF(manip_aviation!O15=":",NA(),manip_aviation!O15)</f>
        <v>1.210016</v>
      </c>
      <c r="P13" s="28">
        <f>IF(manip_aviation!P15=":",NA(),manip_aviation!P15)</f>
        <v>3.2659471428571427</v>
      </c>
      <c r="Q13" s="28">
        <f>IF(manip_aviation!Q15=":",NA(),manip_aviation!Q15)</f>
        <v>4.85787</v>
      </c>
    </row>
    <row r="14" spans="1:17" ht="11.25">
      <c r="A14" s="107">
        <v>2000</v>
      </c>
      <c r="B14" s="28">
        <f>IF(manip_aviation!B16=":",NA(),manip_aviation!B16)</f>
        <v>49.223038</v>
      </c>
      <c r="C14" s="28">
        <f>IF(manip_aviation!C16=":",NA(),manip_aviation!C16)</f>
        <v>0</v>
      </c>
      <c r="D14" s="28">
        <f>IF(manip_aviation!D16=":",NA(),manip_aviation!D16)</f>
        <v>1.40599</v>
      </c>
      <c r="E14" s="28">
        <f>IF(manip_aviation!E16=":",NA(),manip_aviation!E16)</f>
        <v>6.120349</v>
      </c>
      <c r="F14" s="28">
        <f>IF(manip_aviation!F16=":",NA(),manip_aviation!F16)</f>
        <v>1.071609</v>
      </c>
      <c r="G14" s="28">
        <f>IF(manip_aviation!G16=":",NA(),manip_aviation!G16)</f>
        <v>12.795675</v>
      </c>
      <c r="H14" s="28">
        <f>IF(manip_aviation!H16=":",NA(),manip_aviation!H16)</f>
        <v>9.31949</v>
      </c>
      <c r="I14" s="28">
        <f>IF(manip_aviation!I16=":",NA(),manip_aviation!I16)</f>
        <v>0.08069799999999999</v>
      </c>
      <c r="J14" s="28">
        <f>IF(manip_aviation!J16=":",NA(),manip_aviation!J16)</f>
        <v>7.221109</v>
      </c>
      <c r="K14" s="28">
        <f>IF(manip_aviation!K16=":",NA(),manip_aviation!K16)</f>
        <v>0</v>
      </c>
      <c r="L14" s="28">
        <f>IF(manip_aviation!L16=":",NA(),manip_aviation!L16)</f>
        <v>0</v>
      </c>
      <c r="M14" s="28">
        <f>IF(manip_aviation!M16=":",NA(),manip_aviation!M16)</f>
        <v>0</v>
      </c>
      <c r="N14" s="28">
        <f>IF(manip_aviation!N16=":",NA(),manip_aviation!N16)</f>
        <v>1.219617</v>
      </c>
      <c r="O14" s="28">
        <f>IF(manip_aviation!O16=":",NA(),manip_aviation!O16)</f>
        <v>1.278703</v>
      </c>
      <c r="P14" s="28">
        <f>IF(manip_aviation!P16=":",NA(),manip_aviation!P16)</f>
        <v>3.5149749999999997</v>
      </c>
      <c r="Q14" s="28">
        <f>IF(manip_aviation!Q16=":",NA(),manip_aviation!Q16)</f>
        <v>5.194823</v>
      </c>
    </row>
    <row r="15" spans="1:17" ht="11.25">
      <c r="A15" s="107">
        <v>2001</v>
      </c>
      <c r="B15" s="28" t="e">
        <f>IF(manip_aviation!B17=":",NA(),manip_aviation!B17)</f>
        <v>#N/A</v>
      </c>
      <c r="C15" s="28" t="e">
        <f>IF(manip_aviation!C17=":",NA(),manip_aviation!C17)</f>
        <v>#N/A</v>
      </c>
      <c r="D15" s="28" t="e">
        <f>IF(manip_aviation!D17=":",NA(),manip_aviation!D17)</f>
        <v>#N/A</v>
      </c>
      <c r="E15" s="28" t="e">
        <f>IF(manip_aviation!E17=":",NA(),manip_aviation!E17)</f>
        <v>#N/A</v>
      </c>
      <c r="F15" s="28" t="e">
        <f>IF(manip_aviation!F17=":",NA(),manip_aviation!F17)</f>
        <v>#N/A</v>
      </c>
      <c r="G15" s="28" t="e">
        <f>IF(manip_aviation!G17=":",NA(),manip_aviation!G17)</f>
        <v>#N/A</v>
      </c>
      <c r="H15" s="28" t="e">
        <f>IF(manip_aviation!H17=":",NA(),manip_aviation!H17)</f>
        <v>#N/A</v>
      </c>
      <c r="I15" s="28" t="e">
        <f>IF(manip_aviation!I17=":",NA(),manip_aviation!I17)</f>
        <v>#N/A</v>
      </c>
      <c r="J15" s="28" t="e">
        <f>IF(manip_aviation!J17=":",NA(),manip_aviation!J17)</f>
        <v>#N/A</v>
      </c>
      <c r="K15" s="28" t="e">
        <f>IF(manip_aviation!K17=":",NA(),manip_aviation!K17)</f>
        <v>#N/A</v>
      </c>
      <c r="L15" s="28" t="e">
        <f>IF(manip_aviation!L17=":",NA(),manip_aviation!L17)</f>
        <v>#N/A</v>
      </c>
      <c r="M15" s="28" t="e">
        <f>IF(manip_aviation!M17=":",NA(),manip_aviation!M17)</f>
        <v>#N/A</v>
      </c>
      <c r="N15" s="28" t="e">
        <f>IF(manip_aviation!N17=":",NA(),manip_aviation!N17)</f>
        <v>#N/A</v>
      </c>
      <c r="O15" s="28" t="e">
        <f>IF(manip_aviation!O17=":",NA(),manip_aviation!O17)</f>
        <v>#N/A</v>
      </c>
      <c r="P15" s="28" t="e">
        <f>IF(manip_aviation!P17=":",NA(),manip_aviation!P17)</f>
        <v>#N/A</v>
      </c>
      <c r="Q15" s="28" t="e">
        <f>IF(manip_aviation!Q17=":",NA(),manip_aviation!Q17)</f>
        <v>#N/A</v>
      </c>
    </row>
    <row r="17" spans="1:17" ht="11.25">
      <c r="A17" s="3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1.25">
      <c r="A18" s="6" t="s">
        <v>51</v>
      </c>
      <c r="B18" s="30" t="s">
        <v>117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2" ht="11.25">
      <c r="A19" s="6" t="s">
        <v>57</v>
      </c>
      <c r="B19" s="3" t="s">
        <v>137</v>
      </c>
    </row>
    <row r="20" ht="11.25">
      <c r="B20" s="3"/>
    </row>
    <row r="21" spans="2:17" ht="11.25">
      <c r="B21" s="295">
        <f>+B14/B5-1</f>
        <v>0.7372182316471063</v>
      </c>
      <c r="C21" s="295" t="e">
        <f aca="true" t="shared" si="0" ref="C21:Q21">+C14/C5-1</f>
        <v>#DIV/0!</v>
      </c>
      <c r="D21" s="295">
        <f t="shared" si="0"/>
        <v>0.6583194071929317</v>
      </c>
      <c r="E21" s="295">
        <f t="shared" si="0"/>
        <v>0.5012221262617702</v>
      </c>
      <c r="F21" s="295">
        <f t="shared" si="0"/>
        <v>0.1131032634550786</v>
      </c>
      <c r="G21" s="295">
        <f t="shared" si="0"/>
        <v>1.6081100912943245</v>
      </c>
      <c r="H21" s="295">
        <f t="shared" si="0"/>
        <v>0.11126811215741395</v>
      </c>
      <c r="I21" s="295">
        <f t="shared" si="0"/>
        <v>0.31470650527036037</v>
      </c>
      <c r="J21" s="295">
        <f t="shared" si="0"/>
        <v>2.9434787499890778</v>
      </c>
      <c r="K21" s="295" t="e">
        <f t="shared" si="0"/>
        <v>#DIV/0!</v>
      </c>
      <c r="L21" s="295">
        <f t="shared" si="0"/>
        <v>-1</v>
      </c>
      <c r="M21" s="295">
        <f t="shared" si="0"/>
        <v>-1</v>
      </c>
      <c r="N21" s="295">
        <f t="shared" si="0"/>
        <v>0.47831288499720004</v>
      </c>
      <c r="O21" s="295">
        <f t="shared" si="0"/>
        <v>0.74135249674527</v>
      </c>
      <c r="P21" s="295">
        <f t="shared" si="0"/>
        <v>0.6583194071929315</v>
      </c>
      <c r="Q21" s="295">
        <f t="shared" si="0"/>
        <v>0.4507218110540112</v>
      </c>
    </row>
    <row r="22" ht="11.25">
      <c r="A22" s="2"/>
    </row>
    <row r="23" ht="11.25">
      <c r="A23" s="2"/>
    </row>
    <row r="24" ht="11.25">
      <c r="A24" s="2" t="s">
        <v>106</v>
      </c>
    </row>
    <row r="25" ht="11.25">
      <c r="A25" s="57" t="s">
        <v>95</v>
      </c>
    </row>
    <row r="26" ht="11.25">
      <c r="A26" s="57"/>
    </row>
    <row r="27" spans="1:17" ht="11.25">
      <c r="A27" s="37"/>
      <c r="B27" s="37" t="s">
        <v>5</v>
      </c>
      <c r="C27" s="37" t="s">
        <v>7</v>
      </c>
      <c r="D27" s="37" t="s">
        <v>8</v>
      </c>
      <c r="E27" s="37" t="s">
        <v>9</v>
      </c>
      <c r="F27" s="37" t="s">
        <v>10</v>
      </c>
      <c r="G27" s="37" t="s">
        <v>11</v>
      </c>
      <c r="H27" s="37" t="s">
        <v>12</v>
      </c>
      <c r="I27" s="37" t="s">
        <v>13</v>
      </c>
      <c r="J27" s="37" t="s">
        <v>14</v>
      </c>
      <c r="K27" s="37" t="s">
        <v>15</v>
      </c>
      <c r="L27" s="37" t="s">
        <v>16</v>
      </c>
      <c r="M27" s="37" t="s">
        <v>17</v>
      </c>
      <c r="N27" s="37" t="s">
        <v>18</v>
      </c>
      <c r="O27" s="37" t="s">
        <v>19</v>
      </c>
      <c r="P27" s="37" t="s">
        <v>20</v>
      </c>
      <c r="Q27" s="37" t="s">
        <v>21</v>
      </c>
    </row>
    <row r="28" spans="1:17" ht="11.25">
      <c r="A28" s="53">
        <v>1990</v>
      </c>
      <c r="B28" s="13" t="e">
        <f>+#REF!/'[4]manip_POP_EU'!B5*1000000</f>
        <v>#REF!</v>
      </c>
      <c r="C28" s="13" t="e">
        <f>+#REF!/'[4]manip_POP_EU'!C5*1000000</f>
        <v>#REF!</v>
      </c>
      <c r="D28" s="13" t="e">
        <f>+#REF!/'[4]manip_POP_EU'!D5*1000000</f>
        <v>#REF!</v>
      </c>
      <c r="E28" s="13" t="e">
        <f>+#REF!/'[4]manip_POP_EU'!E5*1000000</f>
        <v>#REF!</v>
      </c>
      <c r="F28" s="13" t="e">
        <f>+#REF!/'[4]manip_POP_EU'!F5*1000000</f>
        <v>#REF!</v>
      </c>
      <c r="G28" s="13" t="e">
        <f>+#REF!/'[4]manip_POP_EU'!G5*1000000</f>
        <v>#REF!</v>
      </c>
      <c r="H28" s="13" t="e">
        <f>+#REF!/'[4]manip_POP_EU'!H5*1000000</f>
        <v>#REF!</v>
      </c>
      <c r="I28" s="13" t="e">
        <f>+#REF!/'[4]manip_POP_EU'!I5*1000000</f>
        <v>#REF!</v>
      </c>
      <c r="J28" s="13" t="e">
        <f>+#REF!/'[4]manip_POP_EU'!J5*1000000</f>
        <v>#REF!</v>
      </c>
      <c r="K28" s="13" t="e">
        <f>+#REF!/'[4]manip_POP_EU'!K5*1000000</f>
        <v>#REF!</v>
      </c>
      <c r="L28" s="13" t="e">
        <f>+#REF!/'[4]manip_POP_EU'!L5*1000000</f>
        <v>#REF!</v>
      </c>
      <c r="M28" s="13" t="e">
        <f>+#REF!/'[4]manip_POP_EU'!M5*1000000</f>
        <v>#REF!</v>
      </c>
      <c r="N28" s="13" t="e">
        <f>+#REF!/'[4]manip_POP_EU'!N5*1000000</f>
        <v>#REF!</v>
      </c>
      <c r="O28" s="13" t="e">
        <f>+#REF!/'[4]manip_POP_EU'!O5*1000000</f>
        <v>#REF!</v>
      </c>
      <c r="P28" s="13" t="e">
        <f>+#REF!/'[4]manip_POP_EU'!P5*1000000</f>
        <v>#REF!</v>
      </c>
      <c r="Q28" s="13" t="e">
        <f>+#REF!/'[4]manip_POP_EU'!Q5*1000000</f>
        <v>#REF!</v>
      </c>
    </row>
    <row r="29" spans="1:17" ht="11.25">
      <c r="A29" s="53">
        <v>1991</v>
      </c>
      <c r="B29" s="13">
        <f>+B5/'[4]manip_POP_EU'!B6*1000000</f>
        <v>77.37810881009422</v>
      </c>
      <c r="C29" s="13">
        <f>+C5/'[4]manip_POP_EU'!C6*1000000</f>
        <v>0</v>
      </c>
      <c r="D29" s="13">
        <f>+D5/'[4]manip_POP_EU'!D6*1000000</f>
        <v>164.5014136038583</v>
      </c>
      <c r="E29" s="13">
        <f>+E5/'[4]manip_POP_EU'!E6*1000000</f>
        <v>50.952470817606915</v>
      </c>
      <c r="F29" s="13">
        <f>+F5/'[4]manip_POP_EU'!F6*1000000</f>
        <v>93.95159558895287</v>
      </c>
      <c r="G29" s="13">
        <f>+G5/'[4]manip_POP_EU'!G6*1000000</f>
        <v>126.06922602528525</v>
      </c>
      <c r="H29" s="13">
        <f>+H5/'[4]manip_POP_EU'!H6*1000000</f>
        <v>147.18715282348293</v>
      </c>
      <c r="I29" s="13">
        <f>+I5/'[4]manip_POP_EU'!I6*1000000</f>
        <v>17.409592421363133</v>
      </c>
      <c r="J29" s="13">
        <f>+J5/'[4]manip_POP_EU'!J6*1000000</f>
        <v>32.26642702331237</v>
      </c>
      <c r="K29" s="13">
        <f>+K5/'[4]manip_POP_EU'!K6*1000000</f>
        <v>0</v>
      </c>
      <c r="L29" s="13">
        <f>+L5/'[4]manip_POP_EU'!L6*1000000</f>
        <v>0.1386861313868613</v>
      </c>
      <c r="M29" s="13">
        <f>+M5/'[4]manip_POP_EU'!M6*1000000</f>
        <v>0.007922411479829796</v>
      </c>
      <c r="N29" s="13">
        <f>+N5/'[4]manip_POP_EU'!N6*1000000</f>
        <v>83.59570371871517</v>
      </c>
      <c r="O29" s="13">
        <f>+O5/'[4]manip_POP_EU'!O6*1000000</f>
        <v>146.45313123254888</v>
      </c>
      <c r="P29" s="13">
        <f>+P5/'[4]manip_POP_EU'!P6*1000000</f>
        <v>245.96754407196076</v>
      </c>
      <c r="Q29" s="13">
        <f>+Q5/'[4]manip_POP_EU'!Q6*1000000</f>
        <v>61.94391779684472</v>
      </c>
    </row>
    <row r="30" spans="1:17" ht="11.25">
      <c r="A30" s="53">
        <v>1992</v>
      </c>
      <c r="B30" s="13">
        <f>+B6/'[4]manip_POP_EU'!B7*1000000</f>
        <v>84.7328805979521</v>
      </c>
      <c r="C30" s="13">
        <f>+C6/'[4]manip_POP_EU'!C7*1000000</f>
        <v>0</v>
      </c>
      <c r="D30" s="13">
        <f>+D6/'[4]manip_POP_EU'!D7*1000000</f>
        <v>164.10676982591878</v>
      </c>
      <c r="E30" s="13">
        <f>+E6/'[4]manip_POP_EU'!E7*1000000</f>
        <v>56.93707828934312</v>
      </c>
      <c r="F30" s="13">
        <f>+F6/'[4]manip_POP_EU'!F7*1000000</f>
        <v>96.82435574501066</v>
      </c>
      <c r="G30" s="13">
        <f>+G6/'[4]manip_POP_EU'!G7*1000000</f>
        <v>155.96387735220225</v>
      </c>
      <c r="H30" s="13">
        <f>+H6/'[4]manip_POP_EU'!H7*1000000</f>
        <v>127.32687191115662</v>
      </c>
      <c r="I30" s="13">
        <f>+I6/'[4]manip_POP_EU'!I7*1000000</f>
        <v>17.100109887013613</v>
      </c>
      <c r="J30" s="13">
        <f>+J6/'[4]manip_POP_EU'!J7*1000000</f>
        <v>35.68673385040187</v>
      </c>
      <c r="K30" s="13">
        <f>+K6/'[4]manip_POP_EU'!K7*1000000</f>
        <v>0</v>
      </c>
      <c r="L30" s="13">
        <f>+L6/'[4]manip_POP_EU'!L7*1000000</f>
        <v>0</v>
      </c>
      <c r="M30" s="13">
        <f>+M6/'[4]manip_POP_EU'!M7*1000000</f>
        <v>0.01188158859367495</v>
      </c>
      <c r="N30" s="13">
        <f>+N6/'[4]manip_POP_EU'!N7*1000000</f>
        <v>89.0604033647512</v>
      </c>
      <c r="O30" s="13">
        <f>+O6/'[4]manip_POP_EU'!O7*1000000</f>
        <v>137.05870686235622</v>
      </c>
      <c r="P30" s="13">
        <f>+P6/'[4]manip_POP_EU'!P7*1000000</f>
        <v>244.70235348407937</v>
      </c>
      <c r="Q30" s="13">
        <f>+Q6/'[4]manip_POP_EU'!Q7*1000000</f>
        <v>96.20701306761369</v>
      </c>
    </row>
    <row r="31" spans="1:17" ht="11.25">
      <c r="A31" s="53">
        <v>1993</v>
      </c>
      <c r="B31" s="13">
        <f>+B7/'[4]manip_POP_EU'!B8*1000000</f>
        <v>86.75636125670042</v>
      </c>
      <c r="C31" s="13">
        <f>+C7/'[4]manip_POP_EU'!C8*1000000</f>
        <v>0</v>
      </c>
      <c r="D31" s="13">
        <f>+D7/'[4]manip_POP_EU'!D8*1000000</f>
        <v>235.0838862428764</v>
      </c>
      <c r="E31" s="13">
        <f>+E7/'[4]manip_POP_EU'!E8*1000000</f>
        <v>60.61656562669427</v>
      </c>
      <c r="F31" s="13">
        <f>+F7/'[4]manip_POP_EU'!F8*1000000</f>
        <v>90.10772788591251</v>
      </c>
      <c r="G31" s="13">
        <f>+G7/'[4]manip_POP_EU'!G8*1000000</f>
        <v>137.47347951794896</v>
      </c>
      <c r="H31" s="13">
        <f>+H7/'[4]manip_POP_EU'!H8*1000000</f>
        <v>124.39995127850426</v>
      </c>
      <c r="I31" s="13">
        <f>+I7/'[4]manip_POP_EU'!I8*1000000</f>
        <v>14.564589004574412</v>
      </c>
      <c r="J31" s="13">
        <f>+J7/'[4]manip_POP_EU'!J8*1000000</f>
        <v>32.01666988027836</v>
      </c>
      <c r="K31" s="13">
        <f>+K7/'[4]manip_POP_EU'!K8*1000000</f>
        <v>0</v>
      </c>
      <c r="L31" s="13">
        <f>+L7/'[4]manip_POP_EU'!L8*1000000</f>
        <v>0.18823098219135945</v>
      </c>
      <c r="M31" s="13">
        <f>+M7/'[4]manip_POP_EU'!M8*1000000</f>
        <v>0.009388495962946735</v>
      </c>
      <c r="N31" s="13">
        <f>+N7/'[4]manip_POP_EU'!N8*1000000</f>
        <v>90.7683432850926</v>
      </c>
      <c r="O31" s="13">
        <f>+O7/'[4]manip_POP_EU'!O8*1000000</f>
        <v>119.42854322937228</v>
      </c>
      <c r="P31" s="13">
        <f>+P7/'[4]manip_POP_EU'!P8*1000000</f>
        <v>349.7838774901606</v>
      </c>
      <c r="Q31" s="13">
        <f>+Q7/'[4]manip_POP_EU'!Q8*1000000</f>
        <v>103.56654809162929</v>
      </c>
    </row>
    <row r="32" spans="1:17" ht="11.25">
      <c r="A32" s="53">
        <v>1994</v>
      </c>
      <c r="B32" s="13">
        <f>+B8/'[4]manip_POP_EU'!B9*1000000</f>
        <v>89.22202265257684</v>
      </c>
      <c r="C32" s="13">
        <f>+C8/'[4]manip_POP_EU'!C9*1000000</f>
        <v>0</v>
      </c>
      <c r="D32" s="13">
        <f>+D8/'[4]manip_POP_EU'!D9*1000000</f>
        <v>228.41943186496505</v>
      </c>
      <c r="E32" s="13">
        <f>+E8/'[4]manip_POP_EU'!E9*1000000</f>
        <v>59.753373570832714</v>
      </c>
      <c r="F32" s="13">
        <f>+F8/'[4]manip_POP_EU'!F9*1000000</f>
        <v>93.5852676002302</v>
      </c>
      <c r="G32" s="13">
        <f>+G8/'[4]manip_POP_EU'!G9*1000000</f>
        <v>125.90828500625912</v>
      </c>
      <c r="H32" s="13">
        <f>+H8/'[4]manip_POP_EU'!H9*1000000</f>
        <v>138.2011127066381</v>
      </c>
      <c r="I32" s="13">
        <f>+I8/'[4]manip_POP_EU'!I9*1000000</f>
        <v>16.215868037079566</v>
      </c>
      <c r="J32" s="13">
        <f>+J8/'[4]manip_POP_EU'!J9*1000000</f>
        <v>41.08988095238095</v>
      </c>
      <c r="K32" s="13">
        <f>+K8/'[4]manip_POP_EU'!K9*1000000</f>
        <v>0</v>
      </c>
      <c r="L32" s="13">
        <f>+L8/'[4]manip_POP_EU'!L9*1000000</f>
        <v>0.2757924807865222</v>
      </c>
      <c r="M32" s="13">
        <f>+M8/'[4]manip_POP_EU'!M9*1000000</f>
        <v>0.13217066334475241</v>
      </c>
      <c r="N32" s="13">
        <f>+N8/'[4]manip_POP_EU'!N9*1000000</f>
        <v>97.94273884063826</v>
      </c>
      <c r="O32" s="13">
        <f>+O8/'[4]manip_POP_EU'!O9*1000000</f>
        <v>121.57417960306543</v>
      </c>
      <c r="P32" s="13">
        <f>+P8/'[4]manip_POP_EU'!P9*1000000</f>
        <v>338.504658756461</v>
      </c>
      <c r="Q32" s="13">
        <f>+Q8/'[4]manip_POP_EU'!Q9*1000000</f>
        <v>105.7285041527528</v>
      </c>
    </row>
    <row r="33" spans="1:17" ht="11.25">
      <c r="A33" s="53">
        <v>1995</v>
      </c>
      <c r="B33" s="13">
        <f>+B9/'[4]manip_POP_EU'!B10*1000000</f>
        <v>76.47921126308906</v>
      </c>
      <c r="C33" s="13">
        <f>+C9/'[4]manip_POP_EU'!C10*1000000</f>
        <v>0</v>
      </c>
      <c r="D33" s="13">
        <f>+D9/'[4]manip_POP_EU'!D10*1000000</f>
        <v>215.30981528035846</v>
      </c>
      <c r="E33" s="13">
        <f>+E9/'[4]manip_POP_EU'!E10*1000000</f>
        <v>62.722348791063425</v>
      </c>
      <c r="F33" s="13">
        <f>+F9/'[4]manip_POP_EU'!F10*1000000</f>
        <v>100.36813922356093</v>
      </c>
      <c r="G33" s="13">
        <f>+G9/'[4]manip_POP_EU'!G10*1000000</f>
        <v>100.43029839326704</v>
      </c>
      <c r="H33" s="13">
        <f>+H9/'[4]manip_POP_EU'!H10*1000000</f>
        <v>7.1886107461448026</v>
      </c>
      <c r="I33" s="13">
        <f>+I9/'[4]manip_POP_EU'!I10*1000000</f>
        <v>19.95141588006663</v>
      </c>
      <c r="J33" s="13">
        <f>+J9/'[4]manip_POP_EU'!J10*1000000</f>
        <v>97.87324312985106</v>
      </c>
      <c r="K33" s="13">
        <f>+K9/'[4]manip_POP_EU'!K10*1000000</f>
        <v>0</v>
      </c>
      <c r="L33" s="13">
        <f>+L9/'[4]manip_POP_EU'!L10*1000000</f>
        <v>0.3119663648124192</v>
      </c>
      <c r="M33" s="13">
        <f>+M9/'[4]manip_POP_EU'!M10*1000000</f>
        <v>0.1369454455076426</v>
      </c>
      <c r="N33" s="13">
        <f>+N9/'[4]manip_POP_EU'!N10*1000000</f>
        <v>112.11332728921124</v>
      </c>
      <c r="O33" s="13">
        <f>+O9/'[4]manip_POP_EU'!O10*1000000</f>
        <v>133.3572826938136</v>
      </c>
      <c r="P33" s="13">
        <f>+P9/'[4]manip_POP_EU'!P10*1000000</f>
        <v>318.66145235129494</v>
      </c>
      <c r="Q33" s="13">
        <f>+Q9/'[4]manip_POP_EU'!Q10*1000000</f>
        <v>110.8045933863427</v>
      </c>
    </row>
    <row r="34" spans="1:17" ht="11.25">
      <c r="A34" s="53">
        <v>1996</v>
      </c>
      <c r="B34" s="13">
        <f>+B10/'[4]manip_POP_EU'!B11*1000000</f>
        <v>82.65886664768993</v>
      </c>
      <c r="C34" s="13">
        <f>+C10/'[4]manip_POP_EU'!C11*1000000</f>
        <v>0</v>
      </c>
      <c r="D34" s="13">
        <f>+D10/'[4]manip_POP_EU'!D11*1000000</f>
        <v>221.16837704294946</v>
      </c>
      <c r="E34" s="13">
        <f>+E10/'[4]manip_POP_EU'!E11*1000000</f>
        <v>60.72413077448969</v>
      </c>
      <c r="F34" s="13">
        <f>+F10/'[4]manip_POP_EU'!F11*1000000</f>
        <v>105.62835322195704</v>
      </c>
      <c r="G34" s="13">
        <f>+G10/'[4]manip_POP_EU'!G11*1000000</f>
        <v>128.82139046692657</v>
      </c>
      <c r="H34" s="13">
        <f>+H10/'[4]manip_POP_EU'!H11*1000000</f>
        <v>8.782666390928204</v>
      </c>
      <c r="I34" s="13">
        <f>+I10/'[4]manip_POP_EU'!I11*1000000</f>
        <v>18.71916299559471</v>
      </c>
      <c r="J34" s="13">
        <f>+J10/'[4]manip_POP_EU'!J11*1000000</f>
        <v>109.40292784942488</v>
      </c>
      <c r="K34" s="13">
        <f>+K10/'[4]manip_POP_EU'!K11*1000000</f>
        <v>0</v>
      </c>
      <c r="L34" s="13">
        <f>+L10/'[4]manip_POP_EU'!L11*1000000</f>
        <v>0</v>
      </c>
      <c r="M34" s="13">
        <f>+M10/'[4]manip_POP_EU'!M11*1000000</f>
        <v>0.34605596701487334</v>
      </c>
      <c r="N34" s="13">
        <f>+N10/'[4]manip_POP_EU'!N11*1000000</f>
        <v>116.38731117824774</v>
      </c>
      <c r="O34" s="13">
        <f>+O10/'[4]manip_POP_EU'!O11*1000000</f>
        <v>160.95336585365854</v>
      </c>
      <c r="P34" s="13">
        <f>+P10/'[4]manip_POP_EU'!P11*1000000</f>
        <v>329.01390930679634</v>
      </c>
      <c r="Q34" s="13">
        <f>+Q10/'[4]manip_POP_EU'!Q11*1000000</f>
        <v>115.03894425359681</v>
      </c>
    </row>
    <row r="35" spans="1:17" ht="11.25">
      <c r="A35" s="53">
        <v>1997</v>
      </c>
      <c r="B35" s="13">
        <f>+B11/'[4]manip_POP_EU'!B12*1000000</f>
        <v>102.79927955283607</v>
      </c>
      <c r="C35" s="13">
        <f>+C11/'[4]manip_POP_EU'!C12*1000000</f>
        <v>0</v>
      </c>
      <c r="D35" s="13">
        <f>+D11/'[4]manip_POP_EU'!D12*1000000</f>
        <v>222.1831901667336</v>
      </c>
      <c r="E35" s="13">
        <f>+E11/'[4]manip_POP_EU'!E12*1000000</f>
        <v>58.63359773854347</v>
      </c>
      <c r="F35" s="13">
        <f>+F11/'[4]manip_POP_EU'!F12*1000000</f>
        <v>117.58778698675812</v>
      </c>
      <c r="G35" s="13">
        <f>+G11/'[4]manip_POP_EU'!G12*1000000</f>
        <v>140.88218091193448</v>
      </c>
      <c r="H35" s="13">
        <f>+H11/'[4]manip_POP_EU'!H12*1000000</f>
        <v>147.34720313358991</v>
      </c>
      <c r="I35" s="13">
        <f>+I11/'[4]manip_POP_EU'!I12*1000000</f>
        <v>16.120708446866484</v>
      </c>
      <c r="J35" s="13">
        <f>+J11/'[4]manip_POP_EU'!J12*1000000</f>
        <v>122.5109608330581</v>
      </c>
      <c r="K35" s="13">
        <f>+K11/'[4]manip_POP_EU'!K12*1000000</f>
        <v>0</v>
      </c>
      <c r="L35" s="13">
        <f>+L11/'[4]manip_POP_EU'!L12*1000000</f>
        <v>0</v>
      </c>
      <c r="M35" s="13">
        <f>+M11/'[4]manip_POP_EU'!M12*1000000</f>
        <v>0.2372345512612454</v>
      </c>
      <c r="N35" s="13">
        <f>+N11/'[4]manip_POP_EU'!N12*1000000</f>
        <v>122.62503770739063</v>
      </c>
      <c r="O35" s="13">
        <f>+O11/'[4]manip_POP_EU'!O12*1000000</f>
        <v>213.95880027393846</v>
      </c>
      <c r="P35" s="13">
        <f>+P11/'[4]manip_POP_EU'!P12*1000000</f>
        <v>331.67772682306935</v>
      </c>
      <c r="Q35" s="13">
        <f>+Q11/'[4]manip_POP_EU'!Q12*1000000</f>
        <v>80.10025589316885</v>
      </c>
    </row>
    <row r="36" spans="1:17" ht="11.25">
      <c r="A36" s="53">
        <v>1998</v>
      </c>
      <c r="B36" s="13">
        <f>+B12/'[4]manip_POP_EU'!B13*1000000</f>
        <v>113.92493736415108</v>
      </c>
      <c r="C36" s="13">
        <f>+C12/'[4]manip_POP_EU'!C13*1000000</f>
        <v>0</v>
      </c>
      <c r="D36" s="13">
        <f>+D12/'[4]manip_POP_EU'!D13*1000000</f>
        <v>235.3059530546797</v>
      </c>
      <c r="E36" s="13">
        <f>+E12/'[4]manip_POP_EU'!E13*1000000</f>
        <v>63.7518373615123</v>
      </c>
      <c r="F36" s="13">
        <f>+F12/'[4]manip_POP_EU'!F13*1000000</f>
        <v>105.15378031383736</v>
      </c>
      <c r="G36" s="13">
        <f>+G12/'[4]manip_POP_EU'!G13*1000000</f>
        <v>218.80005587869246</v>
      </c>
      <c r="H36" s="13">
        <f>+H12/'[4]manip_POP_EU'!H13*1000000</f>
        <v>147.9957019075996</v>
      </c>
      <c r="I36" s="13">
        <f>+I12/'[4]manip_POP_EU'!I13*1000000</f>
        <v>18.40086206896552</v>
      </c>
      <c r="J36" s="13">
        <f>+J12/'[4]manip_POP_EU'!J13*1000000</f>
        <v>123.19844412030285</v>
      </c>
      <c r="K36" s="13">
        <f>+K12/'[4]manip_POP_EU'!K13*1000000</f>
        <v>0</v>
      </c>
      <c r="L36" s="13">
        <f>+L12/'[4]manip_POP_EU'!L13*1000000</f>
        <v>0</v>
      </c>
      <c r="M36" s="13">
        <f>+M12/'[4]manip_POP_EU'!M13*1000000</f>
        <v>0.19669614839480346</v>
      </c>
      <c r="N36" s="13">
        <f>+N12/'[4]manip_POP_EU'!N13*1000000</f>
        <v>138.59691011235955</v>
      </c>
      <c r="O36" s="13">
        <f>+O12/'[4]manip_POP_EU'!O13*1000000</f>
        <v>241.89171356491366</v>
      </c>
      <c r="P36" s="13">
        <f>+P12/'[4]manip_POP_EU'!P13*1000000</f>
        <v>352.28904209958915</v>
      </c>
      <c r="Q36" s="13">
        <f>+Q12/'[4]manip_POP_EU'!Q13*1000000</f>
        <v>83.04153236013839</v>
      </c>
    </row>
    <row r="37" spans="1:17" ht="11.25">
      <c r="A37" s="53">
        <v>1999</v>
      </c>
      <c r="B37" s="13">
        <f>+B13/'[4]manip_POP_EU'!B14*1000000</f>
        <v>123.58321421993563</v>
      </c>
      <c r="C37" s="13">
        <f>+C13/'[4]manip_POP_EU'!C14*1000000</f>
        <v>0</v>
      </c>
      <c r="D37" s="13">
        <f>+D13/'[4]manip_POP_EU'!D14*1000000</f>
        <v>245.60610211371636</v>
      </c>
      <c r="E37" s="13">
        <f>+E13/'[4]manip_POP_EU'!E14*1000000</f>
        <v>68.81846090123894</v>
      </c>
      <c r="F37" s="13">
        <f>+F13/'[4]manip_POP_EU'!F14*1000000</f>
        <v>101.75488707534636</v>
      </c>
      <c r="G37" s="13">
        <f>+G13/'[4]manip_POP_EU'!G14*1000000</f>
        <v>290.8093003196509</v>
      </c>
      <c r="H37" s="13">
        <f>+H13/'[4]manip_POP_EU'!H14*1000000</f>
        <v>157.3489764585466</v>
      </c>
      <c r="I37" s="13">
        <f>+I13/'[4]manip_POP_EU'!I14*1000000</f>
        <v>19.44536247334755</v>
      </c>
      <c r="J37" s="13">
        <f>+J13/'[4]manip_POP_EU'!J14*1000000</f>
        <v>121.98544565104257</v>
      </c>
      <c r="K37" s="13">
        <f>+K13/'[4]manip_POP_EU'!K14*1000000</f>
        <v>0</v>
      </c>
      <c r="L37" s="13">
        <f>+L13/'[4]manip_POP_EU'!L14*1000000</f>
        <v>0</v>
      </c>
      <c r="M37" s="13">
        <f>+M13/'[4]manip_POP_EU'!M14*1000000</f>
        <v>0.4017424078593716</v>
      </c>
      <c r="N37" s="13">
        <f>+N13/'[4]manip_POP_EU'!N14*1000000</f>
        <v>124.36760436480127</v>
      </c>
      <c r="O37" s="13">
        <f>+O13/'[4]manip_POP_EU'!O14*1000000</f>
        <v>234.2722168441433</v>
      </c>
      <c r="P37" s="13">
        <f>+P13/'[4]manip_POP_EU'!P14*1000000</f>
        <v>368.72526281495055</v>
      </c>
      <c r="Q37" s="13">
        <f>+Q13/'[4]manip_POP_EU'!Q14*1000000</f>
        <v>81.64363900377977</v>
      </c>
    </row>
    <row r="38" spans="1:17" ht="11.25">
      <c r="A38" s="6">
        <v>2000</v>
      </c>
      <c r="B38" s="13">
        <f>+B14/'[4]manip_POP_EU'!B15*1000000</f>
        <v>130.77337448393268</v>
      </c>
      <c r="C38" s="13">
        <f>+C14/'[4]manip_POP_EU'!C15*1000000</f>
        <v>0</v>
      </c>
      <c r="D38" s="13">
        <f>+D14/'[4]manip_POP_EU'!D15*1000000</f>
        <v>263.4913793103448</v>
      </c>
      <c r="E38" s="13">
        <f>+E14/'[4]manip_POP_EU'!E15*1000000</f>
        <v>74.50211807668899</v>
      </c>
      <c r="F38" s="13">
        <f>+F14/'[4]manip_POP_EU'!F15*1000000</f>
        <v>101.478125</v>
      </c>
      <c r="G38" s="13">
        <f>+G14/'[4]manip_POP_EU'!G15*1000000</f>
        <v>324.22843025465596</v>
      </c>
      <c r="H38" s="13">
        <f>+H14/'[4]manip_POP_EU'!H15*1000000</f>
        <v>158.2471303402839</v>
      </c>
      <c r="I38" s="13">
        <f>+I14/'[4]manip_POP_EU'!I15*1000000</f>
        <v>21.26989984185556</v>
      </c>
      <c r="J38" s="13">
        <f>+J14/'[4]manip_POP_EU'!J15*1000000</f>
        <v>125.1708961691801</v>
      </c>
      <c r="K38" s="13">
        <f>+K14/'[4]manip_POP_EU'!K15*1000000</f>
        <v>0</v>
      </c>
      <c r="L38" s="13">
        <f>+L14/'[4]manip_POP_EU'!L15*1000000</f>
        <v>0</v>
      </c>
      <c r="M38" s="13">
        <f>+M14/'[4]manip_POP_EU'!M15*1000000</f>
        <v>0</v>
      </c>
      <c r="N38" s="13">
        <f>+N14/'[4]manip_POP_EU'!N15*1000000</f>
        <v>121.86420863309353</v>
      </c>
      <c r="O38" s="13">
        <f>+O14/'[4]manip_POP_EU'!O15*1000000</f>
        <v>246.99690940699244</v>
      </c>
      <c r="P38" s="13">
        <f>+P14/'[4]manip_POP_EU'!P15*1000000</f>
        <v>396.32145675949937</v>
      </c>
      <c r="Q38" s="13">
        <f>+Q14/'[4]manip_POP_EU'!Q15*1000000</f>
        <v>86.9587990404912</v>
      </c>
    </row>
  </sheetData>
  <conditionalFormatting sqref="B5:B15">
    <cfRule type="cellIs" priority="1" dxfId="2" operator="notEqual" stopIfTrue="1">
      <formula>SUM($C5:$Q5)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2"/>
  <dimension ref="A1:R63"/>
  <sheetViews>
    <sheetView workbookViewId="0" topLeftCell="A1">
      <selection activeCell="B53" sqref="B53:Q63"/>
    </sheetView>
  </sheetViews>
  <sheetFormatPr defaultColWidth="9.140625" defaultRowHeight="12.75"/>
  <cols>
    <col min="1" max="1" width="8.28125" style="3" customWidth="1"/>
    <col min="2" max="18" width="6.8515625" style="3" customWidth="1"/>
    <col min="19" max="19" width="5.7109375" style="3" customWidth="1"/>
    <col min="20" max="16384" width="9.140625" style="3" customWidth="1"/>
  </cols>
  <sheetData>
    <row r="1" spans="1:3" ht="11.25">
      <c r="A1" s="2" t="s">
        <v>122</v>
      </c>
      <c r="B1" s="2"/>
      <c r="C1" s="2"/>
    </row>
    <row r="2" spans="1:18" ht="11.25">
      <c r="A2" s="57" t="s">
        <v>62</v>
      </c>
      <c r="R2" s="8"/>
    </row>
    <row r="4" ht="11.25">
      <c r="A4" s="2" t="s">
        <v>129</v>
      </c>
    </row>
    <row r="5" spans="1:17" ht="12">
      <c r="A5" s="92"/>
      <c r="B5" s="93" t="s">
        <v>5</v>
      </c>
      <c r="C5" s="93" t="s">
        <v>66</v>
      </c>
      <c r="D5" s="93" t="s">
        <v>67</v>
      </c>
      <c r="E5" s="93" t="s">
        <v>68</v>
      </c>
      <c r="F5" s="93" t="s">
        <v>10</v>
      </c>
      <c r="G5" s="93" t="s">
        <v>69</v>
      </c>
      <c r="H5" s="93" t="s">
        <v>70</v>
      </c>
      <c r="I5" s="93" t="s">
        <v>71</v>
      </c>
      <c r="J5" s="93" t="s">
        <v>72</v>
      </c>
      <c r="K5" s="93" t="s">
        <v>73</v>
      </c>
      <c r="L5" s="93" t="s">
        <v>74</v>
      </c>
      <c r="M5" s="93" t="s">
        <v>75</v>
      </c>
      <c r="N5" s="93" t="s">
        <v>76</v>
      </c>
      <c r="O5" s="93" t="s">
        <v>19</v>
      </c>
      <c r="P5" s="93" t="s">
        <v>20</v>
      </c>
      <c r="Q5" s="93" t="s">
        <v>79</v>
      </c>
    </row>
    <row r="6" spans="1:17" ht="12">
      <c r="A6" s="96">
        <v>1990</v>
      </c>
      <c r="B6" s="9">
        <v>28.839054</v>
      </c>
      <c r="C6" s="9">
        <v>0</v>
      </c>
      <c r="D6" s="9">
        <v>0.9359371428571428</v>
      </c>
      <c r="E6" s="9">
        <v>2.851877</v>
      </c>
      <c r="F6" s="9">
        <v>1.175379</v>
      </c>
      <c r="G6" s="9">
        <v>4.772048</v>
      </c>
      <c r="H6" s="9">
        <v>9.131813</v>
      </c>
      <c r="I6" s="9">
        <v>0.07023</v>
      </c>
      <c r="J6" s="9">
        <v>1.9837049999999998</v>
      </c>
      <c r="K6" s="9">
        <v>0</v>
      </c>
      <c r="L6" s="9">
        <v>0.0077480000000000005</v>
      </c>
      <c r="M6" s="9">
        <v>0.001722</v>
      </c>
      <c r="N6" s="9">
        <v>0.768273</v>
      </c>
      <c r="O6" s="9">
        <v>0.839942</v>
      </c>
      <c r="P6" s="9">
        <v>2.339842857142857</v>
      </c>
      <c r="Q6" s="9">
        <v>3.960537</v>
      </c>
    </row>
    <row r="7" spans="1:17" ht="12">
      <c r="A7" s="96">
        <v>1991</v>
      </c>
      <c r="B7" s="9">
        <v>28.334401</v>
      </c>
      <c r="C7" s="9">
        <v>0</v>
      </c>
      <c r="D7" s="9">
        <v>0.8478402857142857</v>
      </c>
      <c r="E7" s="9">
        <v>4.076911</v>
      </c>
      <c r="F7" s="9">
        <v>0.962722</v>
      </c>
      <c r="G7" s="9">
        <v>4.90611</v>
      </c>
      <c r="H7" s="9">
        <v>8.386356</v>
      </c>
      <c r="I7" s="9">
        <v>0.061381</v>
      </c>
      <c r="J7" s="9">
        <v>1.8311520000000001</v>
      </c>
      <c r="K7" s="9">
        <v>0</v>
      </c>
      <c r="L7" s="9">
        <v>0.00209</v>
      </c>
      <c r="M7" s="9">
        <v>6.2E-05</v>
      </c>
      <c r="N7" s="9">
        <v>0.825006</v>
      </c>
      <c r="O7" s="9">
        <v>0.7343160000000001</v>
      </c>
      <c r="P7" s="9">
        <v>2.1196007142857143</v>
      </c>
      <c r="Q7" s="9">
        <v>3.580854</v>
      </c>
    </row>
    <row r="8" spans="1:17" ht="12">
      <c r="A8" s="96">
        <v>1992</v>
      </c>
      <c r="B8" s="9">
        <v>31.171726999999997</v>
      </c>
      <c r="C8" s="9">
        <v>0</v>
      </c>
      <c r="D8" s="9">
        <v>0.848432</v>
      </c>
      <c r="E8" s="9">
        <v>4.590495</v>
      </c>
      <c r="F8" s="9">
        <v>0.999421</v>
      </c>
      <c r="G8" s="9">
        <v>6.083527</v>
      </c>
      <c r="H8" s="9">
        <v>7.288483</v>
      </c>
      <c r="I8" s="9">
        <v>0.06069</v>
      </c>
      <c r="J8" s="9">
        <v>2.029112</v>
      </c>
      <c r="K8" s="9">
        <v>0</v>
      </c>
      <c r="L8" s="9">
        <v>0</v>
      </c>
      <c r="M8" s="9">
        <v>9.4E-05</v>
      </c>
      <c r="N8" s="9">
        <v>0.8787590000000001</v>
      </c>
      <c r="O8" s="9">
        <v>0.6910499999999999</v>
      </c>
      <c r="P8" s="9">
        <v>2.12108</v>
      </c>
      <c r="Q8" s="9">
        <v>5.580584</v>
      </c>
    </row>
    <row r="9" spans="1:17" ht="12">
      <c r="A9" s="96">
        <v>1993</v>
      </c>
      <c r="B9" s="9">
        <v>32.05600700000001</v>
      </c>
      <c r="C9" s="9">
        <v>0</v>
      </c>
      <c r="D9" s="9">
        <v>1.2198502857142857</v>
      </c>
      <c r="E9" s="9">
        <v>4.919398</v>
      </c>
      <c r="F9" s="9">
        <v>0.935138</v>
      </c>
      <c r="G9" s="9">
        <v>5.372876</v>
      </c>
      <c r="H9" s="9">
        <v>7.149203000000001</v>
      </c>
      <c r="I9" s="9">
        <v>0.05189800000000001</v>
      </c>
      <c r="J9" s="9">
        <v>1.826519</v>
      </c>
      <c r="K9" s="9">
        <v>0</v>
      </c>
      <c r="L9" s="9">
        <v>0.002876</v>
      </c>
      <c r="M9" s="9">
        <v>7.5E-05</v>
      </c>
      <c r="N9" s="9">
        <v>0.896882</v>
      </c>
      <c r="O9" s="9">
        <v>0.6050249999999999</v>
      </c>
      <c r="P9" s="9">
        <v>3.0496257142857144</v>
      </c>
      <c r="Q9" s="9">
        <v>6.026641</v>
      </c>
    </row>
    <row r="10" spans="1:17" ht="12">
      <c r="A10" s="96">
        <v>1994</v>
      </c>
      <c r="B10" s="9">
        <v>33.077872</v>
      </c>
      <c r="C10" s="9">
        <v>0</v>
      </c>
      <c r="D10" s="9">
        <v>1.188923142857143</v>
      </c>
      <c r="E10" s="9">
        <v>4.870856</v>
      </c>
      <c r="F10" s="9">
        <v>0.97572</v>
      </c>
      <c r="G10" s="9">
        <v>4.928428</v>
      </c>
      <c r="H10" s="9">
        <v>7.9688419999999995</v>
      </c>
      <c r="I10" s="9">
        <v>0.057902</v>
      </c>
      <c r="J10" s="9">
        <v>2.347054</v>
      </c>
      <c r="K10" s="9">
        <v>0</v>
      </c>
      <c r="L10" s="9">
        <v>0.004242</v>
      </c>
      <c r="M10" s="9">
        <v>0.0010609999999999999</v>
      </c>
      <c r="N10" s="9">
        <v>0.9698289999999999</v>
      </c>
      <c r="O10" s="9">
        <v>0.618691</v>
      </c>
      <c r="P10" s="9">
        <v>2.9723078571428574</v>
      </c>
      <c r="Q10" s="9">
        <v>6.174016</v>
      </c>
    </row>
    <row r="11" spans="1:17" ht="12">
      <c r="A11" s="96">
        <v>1995</v>
      </c>
      <c r="B11" s="9">
        <v>28.42834</v>
      </c>
      <c r="C11" s="9">
        <v>0</v>
      </c>
      <c r="D11" s="9">
        <v>1.1256397142857142</v>
      </c>
      <c r="E11" s="9">
        <v>5.1207780000000005</v>
      </c>
      <c r="F11" s="9">
        <v>1.0496500000000002</v>
      </c>
      <c r="G11" s="9">
        <v>3.937872</v>
      </c>
      <c r="H11" s="9">
        <v>0.41581799999999997</v>
      </c>
      <c r="I11" s="9">
        <v>0.071865</v>
      </c>
      <c r="J11" s="9">
        <v>5.598741</v>
      </c>
      <c r="K11" s="9">
        <v>0</v>
      </c>
      <c r="L11" s="9">
        <v>0.004823</v>
      </c>
      <c r="M11" s="9">
        <v>0.0011020000000000001</v>
      </c>
      <c r="N11" s="9">
        <v>1.112949</v>
      </c>
      <c r="O11" s="9">
        <v>0.6811889999999999</v>
      </c>
      <c r="P11" s="9">
        <v>2.8140992857142857</v>
      </c>
      <c r="Q11" s="9">
        <v>6.493814</v>
      </c>
    </row>
    <row r="12" spans="1:17" ht="12">
      <c r="A12" s="96">
        <v>1996</v>
      </c>
      <c r="B12" s="9">
        <v>30.815857</v>
      </c>
      <c r="C12" s="9">
        <v>0</v>
      </c>
      <c r="D12" s="9">
        <v>1.163788</v>
      </c>
      <c r="E12" s="9">
        <v>4.974035</v>
      </c>
      <c r="F12" s="9">
        <v>1.106457</v>
      </c>
      <c r="G12" s="9">
        <v>5.059035</v>
      </c>
      <c r="H12" s="9">
        <v>0.5096229999999999</v>
      </c>
      <c r="I12" s="9">
        <v>0.06798799999999999</v>
      </c>
      <c r="J12" s="9">
        <v>6.27754</v>
      </c>
      <c r="K12" s="9">
        <v>0</v>
      </c>
      <c r="L12" s="9">
        <v>0</v>
      </c>
      <c r="M12" s="9">
        <v>0.0027890000000000002</v>
      </c>
      <c r="N12" s="9">
        <v>1.155726</v>
      </c>
      <c r="O12" s="9">
        <v>0.824886</v>
      </c>
      <c r="P12" s="9">
        <v>2.90947</v>
      </c>
      <c r="Q12" s="9">
        <v>6.76452</v>
      </c>
    </row>
    <row r="13" spans="1:17" ht="12">
      <c r="A13" s="96">
        <v>1997</v>
      </c>
      <c r="B13" s="9">
        <v>38.426491999999996</v>
      </c>
      <c r="C13" s="9">
        <v>0</v>
      </c>
      <c r="D13" s="9">
        <v>1.1740648571428571</v>
      </c>
      <c r="E13" s="9">
        <v>4.812118000000001</v>
      </c>
      <c r="F13" s="9">
        <v>1.234319</v>
      </c>
      <c r="G13" s="9">
        <v>5.53991</v>
      </c>
      <c r="H13" s="9">
        <v>8.576786</v>
      </c>
      <c r="I13" s="9">
        <v>0.05916299999999999</v>
      </c>
      <c r="J13" s="9">
        <v>7.047198000000001</v>
      </c>
      <c r="K13" s="9">
        <v>0</v>
      </c>
      <c r="L13" s="9">
        <v>0</v>
      </c>
      <c r="M13" s="9">
        <v>0.001915</v>
      </c>
      <c r="N13" s="9">
        <v>1.219506</v>
      </c>
      <c r="O13" s="9">
        <v>1.0997139999999999</v>
      </c>
      <c r="P13" s="9">
        <v>2.935162142857143</v>
      </c>
      <c r="Q13" s="9">
        <v>4.726636</v>
      </c>
    </row>
    <row r="14" spans="1:17" ht="12">
      <c r="A14" s="96">
        <v>1998</v>
      </c>
      <c r="B14" s="9">
        <v>42.672391000000005</v>
      </c>
      <c r="C14" s="9">
        <v>0</v>
      </c>
      <c r="D14" s="9">
        <v>1.247356857142857</v>
      </c>
      <c r="E14" s="9">
        <v>5.230647</v>
      </c>
      <c r="F14" s="9">
        <v>1.105692</v>
      </c>
      <c r="G14" s="9">
        <v>8.614377000000001</v>
      </c>
      <c r="H14" s="9">
        <v>8.642653000000001</v>
      </c>
      <c r="I14" s="9">
        <v>0.068304</v>
      </c>
      <c r="J14" s="9">
        <v>7.094752000000001</v>
      </c>
      <c r="K14" s="9">
        <v>0</v>
      </c>
      <c r="L14" s="9">
        <v>0</v>
      </c>
      <c r="M14" s="9">
        <v>0.001589</v>
      </c>
      <c r="N14" s="9">
        <v>1.381534</v>
      </c>
      <c r="O14" s="9">
        <v>1.2464680000000001</v>
      </c>
      <c r="P14" s="9">
        <v>3.118392142857143</v>
      </c>
      <c r="Q14" s="9">
        <v>4.920626</v>
      </c>
    </row>
    <row r="15" spans="1:17" ht="12">
      <c r="A15" s="96">
        <v>1999</v>
      </c>
      <c r="B15" s="9">
        <v>46.399015</v>
      </c>
      <c r="C15" s="9">
        <v>0</v>
      </c>
      <c r="D15" s="9">
        <v>1.3063788571428572</v>
      </c>
      <c r="E15" s="9">
        <v>5.649101</v>
      </c>
      <c r="F15" s="9">
        <v>1.072293</v>
      </c>
      <c r="G15" s="9">
        <v>11.463121</v>
      </c>
      <c r="H15" s="9">
        <v>9.223797000000001</v>
      </c>
      <c r="I15" s="9">
        <v>0.07295900000000001</v>
      </c>
      <c r="J15" s="9">
        <v>7.031973</v>
      </c>
      <c r="K15" s="9">
        <v>0</v>
      </c>
      <c r="L15" s="9">
        <v>0</v>
      </c>
      <c r="M15" s="9">
        <v>0.003251</v>
      </c>
      <c r="N15" s="9">
        <v>1.242308</v>
      </c>
      <c r="O15" s="9">
        <v>1.210016</v>
      </c>
      <c r="P15" s="9">
        <v>3.2659471428571427</v>
      </c>
      <c r="Q15" s="9">
        <v>4.85787</v>
      </c>
    </row>
    <row r="16" spans="1:17" ht="12">
      <c r="A16" s="96">
        <v>2000</v>
      </c>
      <c r="B16" s="9">
        <v>49.223038</v>
      </c>
      <c r="C16" s="9">
        <v>0</v>
      </c>
      <c r="D16" s="9">
        <v>1.40599</v>
      </c>
      <c r="E16" s="9">
        <v>6.120349</v>
      </c>
      <c r="F16" s="9">
        <v>1.071609</v>
      </c>
      <c r="G16" s="9">
        <v>12.795675</v>
      </c>
      <c r="H16" s="9">
        <v>9.31949</v>
      </c>
      <c r="I16" s="9">
        <v>0.08069799999999999</v>
      </c>
      <c r="J16" s="9">
        <v>7.221109</v>
      </c>
      <c r="K16" s="9">
        <v>0</v>
      </c>
      <c r="L16" s="9">
        <v>0</v>
      </c>
      <c r="M16" s="9">
        <v>0</v>
      </c>
      <c r="N16" s="9">
        <v>1.219617</v>
      </c>
      <c r="O16" s="9">
        <v>1.278703</v>
      </c>
      <c r="P16" s="9">
        <v>3.5149749999999997</v>
      </c>
      <c r="Q16" s="9">
        <v>5.194823</v>
      </c>
    </row>
    <row r="17" spans="1:17" ht="12">
      <c r="A17" s="96">
        <v>2001</v>
      </c>
      <c r="B17" s="9" t="s">
        <v>4</v>
      </c>
      <c r="C17" s="9" t="s">
        <v>4</v>
      </c>
      <c r="D17" s="9" t="s">
        <v>4</v>
      </c>
      <c r="E17" s="9" t="s">
        <v>4</v>
      </c>
      <c r="F17" s="9" t="s">
        <v>4</v>
      </c>
      <c r="G17" s="9" t="s">
        <v>4</v>
      </c>
      <c r="H17" s="9" t="s">
        <v>4</v>
      </c>
      <c r="I17" s="9" t="s">
        <v>4</v>
      </c>
      <c r="J17" s="9" t="s">
        <v>4</v>
      </c>
      <c r="K17" s="9" t="s">
        <v>4</v>
      </c>
      <c r="L17" s="9" t="s">
        <v>4</v>
      </c>
      <c r="M17" s="9" t="s">
        <v>4</v>
      </c>
      <c r="N17" s="9" t="s">
        <v>4</v>
      </c>
      <c r="O17" s="9" t="s">
        <v>4</v>
      </c>
      <c r="P17" s="9" t="s">
        <v>4</v>
      </c>
      <c r="Q17" s="9" t="s">
        <v>4</v>
      </c>
    </row>
    <row r="19" ht="11.25">
      <c r="A19" s="2" t="s">
        <v>130</v>
      </c>
    </row>
    <row r="20" spans="1:17" ht="12">
      <c r="A20" s="92"/>
      <c r="B20" s="93" t="s">
        <v>5</v>
      </c>
      <c r="C20" s="93" t="s">
        <v>66</v>
      </c>
      <c r="D20" s="93" t="s">
        <v>67</v>
      </c>
      <c r="E20" s="93" t="s">
        <v>68</v>
      </c>
      <c r="F20" s="93" t="s">
        <v>10</v>
      </c>
      <c r="G20" s="93" t="s">
        <v>69</v>
      </c>
      <c r="H20" s="93" t="s">
        <v>70</v>
      </c>
      <c r="I20" s="93" t="s">
        <v>71</v>
      </c>
      <c r="J20" s="93" t="s">
        <v>72</v>
      </c>
      <c r="K20" s="93" t="s">
        <v>73</v>
      </c>
      <c r="L20" s="93" t="s">
        <v>74</v>
      </c>
      <c r="M20" s="93" t="s">
        <v>75</v>
      </c>
      <c r="N20" s="93" t="s">
        <v>76</v>
      </c>
      <c r="O20" s="93" t="s">
        <v>19</v>
      </c>
      <c r="P20" s="93" t="s">
        <v>20</v>
      </c>
      <c r="Q20" s="93" t="s">
        <v>79</v>
      </c>
    </row>
    <row r="21" spans="1:17" ht="12">
      <c r="A21" s="96">
        <v>1990</v>
      </c>
      <c r="B21" s="9">
        <v>56.404984999999996</v>
      </c>
      <c r="C21" s="9">
        <v>1.653988</v>
      </c>
      <c r="D21" s="9">
        <v>1.6492428571428572</v>
      </c>
      <c r="E21" s="9">
        <v>7.807933</v>
      </c>
      <c r="F21" s="9">
        <v>2.690957</v>
      </c>
      <c r="G21" s="9">
        <v>6.587155</v>
      </c>
      <c r="H21" s="9">
        <v>6.080998999999999</v>
      </c>
      <c r="I21" s="9">
        <v>1.7308610000000002</v>
      </c>
      <c r="J21" s="9">
        <v>4.834393</v>
      </c>
      <c r="K21" s="9">
        <v>0.25313599999999997</v>
      </c>
      <c r="L21" s="9">
        <v>2.753772</v>
      </c>
      <c r="M21" s="9">
        <v>1.7125530000000002</v>
      </c>
      <c r="N21" s="9">
        <v>2.4458029999999997</v>
      </c>
      <c r="O21" s="9">
        <v>1.862681</v>
      </c>
      <c r="P21" s="9">
        <v>4.123107142857143</v>
      </c>
      <c r="Q21" s="9">
        <v>10.218404</v>
      </c>
    </row>
    <row r="22" spans="1:17" ht="12">
      <c r="A22" s="96">
        <v>1991</v>
      </c>
      <c r="B22" s="9">
        <v>53.501591999999995</v>
      </c>
      <c r="C22" s="9">
        <v>1.6815740000000001</v>
      </c>
      <c r="D22" s="9">
        <v>1.5673151428571428</v>
      </c>
      <c r="E22" s="9">
        <v>8.06466</v>
      </c>
      <c r="F22" s="9">
        <v>2.185567</v>
      </c>
      <c r="G22" s="9">
        <v>5.393944</v>
      </c>
      <c r="H22" s="9">
        <v>5.458594</v>
      </c>
      <c r="I22" s="9">
        <v>1.797325</v>
      </c>
      <c r="J22" s="9">
        <v>4.837652</v>
      </c>
      <c r="K22" s="9">
        <v>0.258169</v>
      </c>
      <c r="L22" s="9">
        <v>2.8255529999999998</v>
      </c>
      <c r="M22" s="9">
        <v>1.773015</v>
      </c>
      <c r="N22" s="9">
        <v>2.607528</v>
      </c>
      <c r="O22" s="9">
        <v>1.6827509999999999</v>
      </c>
      <c r="P22" s="9">
        <v>3.9182878571428574</v>
      </c>
      <c r="Q22" s="9">
        <v>9.449656999999998</v>
      </c>
    </row>
    <row r="23" spans="1:17" ht="12">
      <c r="A23" s="96">
        <v>1992</v>
      </c>
      <c r="B23" s="9">
        <v>60.398452999999996</v>
      </c>
      <c r="C23" s="9">
        <v>1.840474</v>
      </c>
      <c r="D23" s="9">
        <v>1.7066485714285713</v>
      </c>
      <c r="E23" s="9">
        <v>9.231677</v>
      </c>
      <c r="F23" s="9">
        <v>2.5847930000000003</v>
      </c>
      <c r="G23" s="9">
        <v>5.422256</v>
      </c>
      <c r="H23" s="9">
        <v>5.8261270000000005</v>
      </c>
      <c r="I23" s="9">
        <v>1.798505</v>
      </c>
      <c r="J23" s="9">
        <v>5.589665</v>
      </c>
      <c r="K23" s="9">
        <v>0.286118</v>
      </c>
      <c r="L23" s="9">
        <v>3.400537</v>
      </c>
      <c r="M23" s="9">
        <v>1.9769949999999998</v>
      </c>
      <c r="N23" s="9">
        <v>2.837759</v>
      </c>
      <c r="O23" s="9">
        <v>1.728691</v>
      </c>
      <c r="P23" s="9">
        <v>4.266621428571429</v>
      </c>
      <c r="Q23" s="9">
        <v>11.901586</v>
      </c>
    </row>
    <row r="24" spans="1:17" ht="12">
      <c r="A24" s="96">
        <v>1993</v>
      </c>
      <c r="B24" s="9">
        <v>65.15387100000001</v>
      </c>
      <c r="C24" s="9">
        <v>2.234333</v>
      </c>
      <c r="D24" s="9">
        <v>1.8919822857142858</v>
      </c>
      <c r="E24" s="9">
        <v>9.947388</v>
      </c>
      <c r="F24" s="9">
        <v>2.710464</v>
      </c>
      <c r="G24" s="9">
        <v>5.572698999999999</v>
      </c>
      <c r="H24" s="9">
        <v>5.725775</v>
      </c>
      <c r="I24" s="9">
        <v>1.66105</v>
      </c>
      <c r="J24" s="9">
        <v>5.6876999999999995</v>
      </c>
      <c r="K24" s="9">
        <v>0.290451</v>
      </c>
      <c r="L24" s="9">
        <v>4.068437</v>
      </c>
      <c r="M24" s="9">
        <v>1.977559</v>
      </c>
      <c r="N24" s="9">
        <v>2.991902</v>
      </c>
      <c r="O24" s="9">
        <v>2.053116</v>
      </c>
      <c r="P24" s="9">
        <v>4.729955714285714</v>
      </c>
      <c r="Q24" s="9">
        <v>13.611059</v>
      </c>
    </row>
    <row r="25" spans="1:17" ht="12">
      <c r="A25" s="96">
        <v>1994</v>
      </c>
      <c r="B25" s="9">
        <v>71.06540199999999</v>
      </c>
      <c r="C25" s="9">
        <v>2.6273739999999997</v>
      </c>
      <c r="D25" s="9">
        <v>1.991777142857143</v>
      </c>
      <c r="E25" s="9">
        <v>10.80128</v>
      </c>
      <c r="F25" s="9">
        <v>3.055558</v>
      </c>
      <c r="G25" s="9">
        <v>5.280937</v>
      </c>
      <c r="H25" s="9">
        <v>6.332694999999999</v>
      </c>
      <c r="I25" s="9">
        <v>1.6568209999999999</v>
      </c>
      <c r="J25" s="9">
        <v>6.38162</v>
      </c>
      <c r="K25" s="9">
        <v>0.36114999999999997</v>
      </c>
      <c r="L25" s="9">
        <v>4.970776</v>
      </c>
      <c r="M25" s="9">
        <v>1.976931</v>
      </c>
      <c r="N25" s="9">
        <v>2.8121680000000002</v>
      </c>
      <c r="O25" s="9">
        <v>2.878504</v>
      </c>
      <c r="P25" s="9">
        <v>4.979442857142857</v>
      </c>
      <c r="Q25" s="9">
        <v>14.958368</v>
      </c>
    </row>
    <row r="26" spans="1:17" ht="12">
      <c r="A26" s="96">
        <v>1995</v>
      </c>
      <c r="B26" s="9">
        <v>77.34053600000001</v>
      </c>
      <c r="C26" s="9">
        <v>3.183217</v>
      </c>
      <c r="D26" s="9">
        <v>2.0862251428571432</v>
      </c>
      <c r="E26" s="9">
        <v>11.974966</v>
      </c>
      <c r="F26" s="9">
        <v>3.009843</v>
      </c>
      <c r="G26" s="9">
        <v>6.5949290000000005</v>
      </c>
      <c r="H26" s="9">
        <v>5.876117</v>
      </c>
      <c r="I26" s="9">
        <v>1.824811</v>
      </c>
      <c r="J26" s="9">
        <v>6.88195</v>
      </c>
      <c r="K26" s="9">
        <v>0.380074</v>
      </c>
      <c r="L26" s="9">
        <v>5.120703000000001</v>
      </c>
      <c r="M26" s="9">
        <v>2.116535</v>
      </c>
      <c r="N26" s="9">
        <v>2.954191</v>
      </c>
      <c r="O26" s="9">
        <v>4.365527</v>
      </c>
      <c r="P26" s="9">
        <v>5.215562857142857</v>
      </c>
      <c r="Q26" s="9">
        <v>15.755885000000001</v>
      </c>
    </row>
    <row r="27" spans="1:17" ht="12">
      <c r="A27" s="96">
        <v>1996</v>
      </c>
      <c r="B27" s="9">
        <v>82.061392</v>
      </c>
      <c r="C27" s="9">
        <v>3.312376</v>
      </c>
      <c r="D27" s="9">
        <v>2.2297274285714286</v>
      </c>
      <c r="E27" s="9">
        <v>12.618554</v>
      </c>
      <c r="F27" s="9">
        <v>3.1493409999999997</v>
      </c>
      <c r="G27" s="9">
        <v>6.556475000000001</v>
      </c>
      <c r="H27" s="9">
        <v>6.513589</v>
      </c>
      <c r="I27" s="9">
        <v>1.97777</v>
      </c>
      <c r="J27" s="9">
        <v>7.829542999999999</v>
      </c>
      <c r="K27" s="9">
        <v>0.420996</v>
      </c>
      <c r="L27" s="9">
        <v>5.587187</v>
      </c>
      <c r="M27" s="9">
        <v>2.1119299999999996</v>
      </c>
      <c r="N27" s="9">
        <v>3.100133</v>
      </c>
      <c r="O27" s="9">
        <v>4.452975</v>
      </c>
      <c r="P27" s="9">
        <v>5.574318571428571</v>
      </c>
      <c r="Q27" s="9">
        <v>16.626476999999998</v>
      </c>
    </row>
    <row r="28" spans="1:17" ht="12">
      <c r="A28" s="96">
        <v>1997</v>
      </c>
      <c r="B28" s="9">
        <v>90.39389999999999</v>
      </c>
      <c r="C28" s="9">
        <v>4.524037</v>
      </c>
      <c r="D28" s="9">
        <v>2.4388422857142857</v>
      </c>
      <c r="E28" s="9">
        <v>14.029566</v>
      </c>
      <c r="F28" s="9">
        <v>3.536525</v>
      </c>
      <c r="G28" s="9">
        <v>6.824435</v>
      </c>
      <c r="H28" s="9">
        <v>7.871656</v>
      </c>
      <c r="I28" s="9">
        <v>2.1974319999999996</v>
      </c>
      <c r="J28" s="9">
        <v>7.898212</v>
      </c>
      <c r="K28" s="9">
        <v>0.446551</v>
      </c>
      <c r="L28" s="9">
        <v>6.517234</v>
      </c>
      <c r="M28" s="9">
        <v>2.184558</v>
      </c>
      <c r="N28" s="9">
        <v>3.339174</v>
      </c>
      <c r="O28" s="9">
        <v>5.124372</v>
      </c>
      <c r="P28" s="9">
        <v>6.097105714285714</v>
      </c>
      <c r="Q28" s="9">
        <v>17.3642</v>
      </c>
    </row>
    <row r="29" spans="1:17" ht="12">
      <c r="A29" s="96">
        <v>1998</v>
      </c>
      <c r="B29" s="9">
        <v>97.01048800000001</v>
      </c>
      <c r="C29" s="9">
        <v>5.676299</v>
      </c>
      <c r="D29" s="9">
        <v>2.5068994285714283</v>
      </c>
      <c r="E29" s="9">
        <v>15.610935999999999</v>
      </c>
      <c r="F29" s="9">
        <v>3.268607</v>
      </c>
      <c r="G29" s="9">
        <v>7.523045</v>
      </c>
      <c r="H29" s="9">
        <v>8.033406</v>
      </c>
      <c r="I29" s="9">
        <v>2.413845</v>
      </c>
      <c r="J29" s="9">
        <v>7.447631</v>
      </c>
      <c r="K29" s="9">
        <v>0.453941</v>
      </c>
      <c r="L29" s="9">
        <v>6.984161</v>
      </c>
      <c r="M29" s="9">
        <v>2.4428560000000004</v>
      </c>
      <c r="N29" s="9">
        <v>3.4810749999999997</v>
      </c>
      <c r="O29" s="9">
        <v>5.957859999999999</v>
      </c>
      <c r="P29" s="9">
        <v>6.2672485714285715</v>
      </c>
      <c r="Q29" s="9">
        <v>18.942678</v>
      </c>
    </row>
    <row r="30" spans="1:17" ht="12">
      <c r="A30" s="96">
        <v>1999</v>
      </c>
      <c r="B30" s="9">
        <v>98.67064399999998</v>
      </c>
      <c r="C30" s="9">
        <v>6.5132259999999995</v>
      </c>
      <c r="D30" s="9">
        <v>2.498556</v>
      </c>
      <c r="E30" s="9">
        <v>16.73266</v>
      </c>
      <c r="F30" s="9">
        <v>3.2457689999999997</v>
      </c>
      <c r="G30" s="9">
        <v>7.902027</v>
      </c>
      <c r="H30" s="9">
        <v>9.381706</v>
      </c>
      <c r="I30" s="9">
        <v>2.749788</v>
      </c>
      <c r="J30" s="9">
        <v>7.291016</v>
      </c>
      <c r="K30" s="9">
        <v>0.552126</v>
      </c>
      <c r="L30" s="9">
        <v>7.445784</v>
      </c>
      <c r="M30" s="9">
        <v>2.3479029999999996</v>
      </c>
      <c r="N30" s="9">
        <v>3.50286</v>
      </c>
      <c r="O30" s="9">
        <v>3.423655</v>
      </c>
      <c r="P30" s="9">
        <v>6.24639</v>
      </c>
      <c r="Q30" s="9">
        <v>18.837178</v>
      </c>
    </row>
    <row r="31" spans="1:17" ht="12">
      <c r="A31" s="96">
        <v>2000</v>
      </c>
      <c r="B31" s="9">
        <v>106.739241</v>
      </c>
      <c r="C31" s="9">
        <v>7.225474</v>
      </c>
      <c r="D31" s="9">
        <v>2.673060285714286</v>
      </c>
      <c r="E31" s="9">
        <v>18.064996999999998</v>
      </c>
      <c r="F31" s="9">
        <v>3.738782</v>
      </c>
      <c r="G31" s="9">
        <v>9.322537</v>
      </c>
      <c r="H31" s="9">
        <v>10.362602</v>
      </c>
      <c r="I31" s="9">
        <v>2.8787849999999997</v>
      </c>
      <c r="J31" s="9">
        <v>7.759396</v>
      </c>
      <c r="K31" s="9">
        <v>0.557327</v>
      </c>
      <c r="L31" s="9">
        <v>8.140130000000001</v>
      </c>
      <c r="M31" s="9">
        <v>2.433876</v>
      </c>
      <c r="N31" s="9">
        <v>3.966798</v>
      </c>
      <c r="O31" s="9">
        <v>3.462752</v>
      </c>
      <c r="P31" s="9">
        <v>6.682650714285715</v>
      </c>
      <c r="Q31" s="9">
        <v>19.470074</v>
      </c>
    </row>
    <row r="32" spans="1:17" ht="12">
      <c r="A32" s="96">
        <v>2001</v>
      </c>
      <c r="B32" s="9" t="s">
        <v>4</v>
      </c>
      <c r="C32" s="9" t="s">
        <v>4</v>
      </c>
      <c r="D32" s="9" t="s">
        <v>4</v>
      </c>
      <c r="E32" s="9" t="s">
        <v>4</v>
      </c>
      <c r="F32" s="9" t="s">
        <v>4</v>
      </c>
      <c r="G32" s="9" t="s">
        <v>4</v>
      </c>
      <c r="H32" s="9" t="s">
        <v>4</v>
      </c>
      <c r="I32" s="9" t="s">
        <v>4</v>
      </c>
      <c r="J32" s="9" t="s">
        <v>4</v>
      </c>
      <c r="K32" s="9" t="s">
        <v>4</v>
      </c>
      <c r="L32" s="9" t="s">
        <v>4</v>
      </c>
      <c r="M32" s="9" t="s">
        <v>4</v>
      </c>
      <c r="N32" s="9" t="s">
        <v>4</v>
      </c>
      <c r="O32" s="9" t="s">
        <v>4</v>
      </c>
      <c r="P32" s="9" t="s">
        <v>4</v>
      </c>
      <c r="Q32" s="9" t="s">
        <v>4</v>
      </c>
    </row>
    <row r="34" ht="11.25">
      <c r="A34" s="2" t="s">
        <v>131</v>
      </c>
    </row>
    <row r="35" spans="1:17" ht="12">
      <c r="A35" s="92"/>
      <c r="B35" s="93" t="s">
        <v>5</v>
      </c>
      <c r="C35" s="93" t="s">
        <v>66</v>
      </c>
      <c r="D35" s="93" t="s">
        <v>67</v>
      </c>
      <c r="E35" s="93" t="s">
        <v>68</v>
      </c>
      <c r="F35" s="93" t="s">
        <v>10</v>
      </c>
      <c r="G35" s="93" t="s">
        <v>69</v>
      </c>
      <c r="H35" s="93" t="s">
        <v>70</v>
      </c>
      <c r="I35" s="93" t="s">
        <v>71</v>
      </c>
      <c r="J35" s="93" t="s">
        <v>72</v>
      </c>
      <c r="K35" s="93" t="s">
        <v>73</v>
      </c>
      <c r="L35" s="93" t="s">
        <v>74</v>
      </c>
      <c r="M35" s="93" t="s">
        <v>75</v>
      </c>
      <c r="N35" s="93" t="s">
        <v>76</v>
      </c>
      <c r="O35" s="93" t="s">
        <v>19</v>
      </c>
      <c r="P35" s="93" t="s">
        <v>20</v>
      </c>
      <c r="Q35" s="93" t="s">
        <v>79</v>
      </c>
    </row>
    <row r="36" spans="1:17" ht="12">
      <c r="A36" s="96">
        <v>1990</v>
      </c>
      <c r="B36" s="9">
        <v>184.49524800000003</v>
      </c>
      <c r="C36" s="9">
        <v>5.9184399999999995</v>
      </c>
      <c r="D36" s="9">
        <v>2.13368</v>
      </c>
      <c r="E36" s="9">
        <v>31.24315</v>
      </c>
      <c r="F36" s="9">
        <v>3.898077</v>
      </c>
      <c r="G36" s="9">
        <v>10.752609000000001</v>
      </c>
      <c r="H36" s="9">
        <v>27.541086000000004</v>
      </c>
      <c r="I36" s="9">
        <v>2.3893969999999998</v>
      </c>
      <c r="J36" s="9">
        <v>12.307532000000002</v>
      </c>
      <c r="K36" s="9">
        <v>0</v>
      </c>
      <c r="L36" s="9">
        <v>23.628102</v>
      </c>
      <c r="M36" s="9">
        <v>1.104636</v>
      </c>
      <c r="N36" s="9">
        <v>3.62157</v>
      </c>
      <c r="O36" s="9">
        <v>2.0067220000000003</v>
      </c>
      <c r="P36" s="9">
        <v>5.3342</v>
      </c>
      <c r="Q36" s="9">
        <v>52.616047</v>
      </c>
    </row>
    <row r="37" spans="1:17" ht="12">
      <c r="A37" s="96">
        <v>1991</v>
      </c>
      <c r="B37" s="9">
        <v>175.422487</v>
      </c>
      <c r="C37" s="9">
        <v>4.541505999999999</v>
      </c>
      <c r="D37" s="9">
        <v>1.9895248571428574</v>
      </c>
      <c r="E37" s="9">
        <v>30.543105</v>
      </c>
      <c r="F37" s="9">
        <v>3.045071</v>
      </c>
      <c r="G37" s="9">
        <v>10.172732</v>
      </c>
      <c r="H37" s="9">
        <v>25.634446999999998</v>
      </c>
      <c r="I37" s="9">
        <v>1.927484</v>
      </c>
      <c r="J37" s="9">
        <v>11.518479</v>
      </c>
      <c r="K37" s="9">
        <v>0</v>
      </c>
      <c r="L37" s="9">
        <v>24.479373</v>
      </c>
      <c r="M37" s="9">
        <v>1.0799820000000002</v>
      </c>
      <c r="N37" s="9">
        <v>3.592277</v>
      </c>
      <c r="O37" s="9">
        <v>2.1203729999999994</v>
      </c>
      <c r="P37" s="9">
        <v>4.973812142857143</v>
      </c>
      <c r="Q37" s="9">
        <v>49.804321</v>
      </c>
    </row>
    <row r="38" spans="1:17" ht="12">
      <c r="A38" s="96">
        <v>1992</v>
      </c>
      <c r="B38" s="9">
        <v>202.75198799999995</v>
      </c>
      <c r="C38" s="9">
        <v>4.362112</v>
      </c>
      <c r="D38" s="9">
        <v>1.9302119999999996</v>
      </c>
      <c r="E38" s="9">
        <v>34.838347999999996</v>
      </c>
      <c r="F38" s="9">
        <v>3.678165</v>
      </c>
      <c r="G38" s="9">
        <v>12.351497</v>
      </c>
      <c r="H38" s="9">
        <v>29.882017</v>
      </c>
      <c r="I38" s="9">
        <v>2.151484</v>
      </c>
      <c r="J38" s="9">
        <v>15.967251999999998</v>
      </c>
      <c r="K38" s="9">
        <v>0</v>
      </c>
      <c r="L38" s="9">
        <v>28.294817</v>
      </c>
      <c r="M38" s="9">
        <v>1.6732040000000001</v>
      </c>
      <c r="N38" s="9">
        <v>3.954844</v>
      </c>
      <c r="O38" s="9">
        <v>2.026518</v>
      </c>
      <c r="P38" s="9">
        <v>4.82553</v>
      </c>
      <c r="Q38" s="9">
        <v>56.815988</v>
      </c>
    </row>
    <row r="39" spans="1:17" ht="12">
      <c r="A39" s="96">
        <v>1993</v>
      </c>
      <c r="B39" s="9">
        <v>219.10684299999994</v>
      </c>
      <c r="C39" s="9">
        <v>4.250964</v>
      </c>
      <c r="D39" s="9">
        <v>2.0706085714285716</v>
      </c>
      <c r="E39" s="9">
        <v>37.791074</v>
      </c>
      <c r="F39" s="9">
        <v>4.253113</v>
      </c>
      <c r="G39" s="9">
        <v>12.319837999999999</v>
      </c>
      <c r="H39" s="9">
        <v>30.659629000000006</v>
      </c>
      <c r="I39" s="9">
        <v>2.046299</v>
      </c>
      <c r="J39" s="9">
        <v>17.006145</v>
      </c>
      <c r="K39" s="9">
        <v>0</v>
      </c>
      <c r="L39" s="9">
        <v>32.735321</v>
      </c>
      <c r="M39" s="9">
        <v>1.7692809999999999</v>
      </c>
      <c r="N39" s="9">
        <v>3.9792769999999997</v>
      </c>
      <c r="O39" s="9">
        <v>2.65842</v>
      </c>
      <c r="P39" s="9">
        <v>5.17652142857143</v>
      </c>
      <c r="Q39" s="9">
        <v>62.390352</v>
      </c>
    </row>
    <row r="40" spans="1:17" ht="12">
      <c r="A40" s="96">
        <v>1994</v>
      </c>
      <c r="B40" s="9">
        <v>238.2322080000001</v>
      </c>
      <c r="C40" s="9">
        <v>4.869597</v>
      </c>
      <c r="D40" s="9">
        <v>2.0952005714285704</v>
      </c>
      <c r="E40" s="9">
        <v>40.864105</v>
      </c>
      <c r="F40" s="9">
        <v>4.397261</v>
      </c>
      <c r="G40" s="9">
        <v>12.321212000000001</v>
      </c>
      <c r="H40" s="9">
        <v>35.817859</v>
      </c>
      <c r="I40" s="9">
        <v>2.5658220000000003</v>
      </c>
      <c r="J40" s="9">
        <v>18.233621</v>
      </c>
      <c r="K40" s="9">
        <v>0</v>
      </c>
      <c r="L40" s="9">
        <v>35.86259</v>
      </c>
      <c r="M40" s="9">
        <v>1.8550290000000003</v>
      </c>
      <c r="N40" s="9">
        <v>3.80373</v>
      </c>
      <c r="O40" s="9">
        <v>2.9929570000000005</v>
      </c>
      <c r="P40" s="9">
        <v>5.23800142857143</v>
      </c>
      <c r="Q40" s="9">
        <v>67.315223</v>
      </c>
    </row>
    <row r="41" spans="1:17" ht="12">
      <c r="A41" s="96">
        <v>1995</v>
      </c>
      <c r="B41" s="9">
        <v>262.98784500000005</v>
      </c>
      <c r="C41" s="9">
        <v>5.436604999999999</v>
      </c>
      <c r="D41" s="9">
        <v>2.075572571428571</v>
      </c>
      <c r="E41" s="9">
        <v>44.506431000000006</v>
      </c>
      <c r="F41" s="9">
        <v>3.885516</v>
      </c>
      <c r="G41" s="9">
        <v>13.278688000000002</v>
      </c>
      <c r="H41" s="9">
        <v>43.223446</v>
      </c>
      <c r="I41" s="9">
        <v>2.764114</v>
      </c>
      <c r="J41" s="9">
        <v>19.472062</v>
      </c>
      <c r="K41" s="9">
        <v>0</v>
      </c>
      <c r="L41" s="9">
        <v>39.332082</v>
      </c>
      <c r="M41" s="9">
        <v>2.7957040000000006</v>
      </c>
      <c r="N41" s="9">
        <v>3.648868</v>
      </c>
      <c r="O41" s="9">
        <v>3.2934040000000007</v>
      </c>
      <c r="P41" s="9">
        <v>5.188931428571429</v>
      </c>
      <c r="Q41" s="9">
        <v>74.086421</v>
      </c>
    </row>
    <row r="42" spans="1:17" ht="12">
      <c r="A42" s="96">
        <v>1996</v>
      </c>
      <c r="B42" s="9">
        <v>285.03146100000004</v>
      </c>
      <c r="C42" s="9">
        <v>5.698929</v>
      </c>
      <c r="D42" s="9">
        <v>2.1742285714285714</v>
      </c>
      <c r="E42" s="9">
        <v>45.667612</v>
      </c>
      <c r="F42" s="9">
        <v>4.2773699999999995</v>
      </c>
      <c r="G42" s="9">
        <v>14.304535999999999</v>
      </c>
      <c r="H42" s="9">
        <v>50.449117</v>
      </c>
      <c r="I42" s="9">
        <v>3.080419</v>
      </c>
      <c r="J42" s="9">
        <v>20.449099</v>
      </c>
      <c r="K42" s="9">
        <v>0</v>
      </c>
      <c r="L42" s="9">
        <v>43.269956</v>
      </c>
      <c r="M42" s="9">
        <v>3.323594</v>
      </c>
      <c r="N42" s="9">
        <v>3.721955</v>
      </c>
      <c r="O42" s="9">
        <v>3.295375</v>
      </c>
      <c r="P42" s="9">
        <v>5.435571428571429</v>
      </c>
      <c r="Q42" s="9">
        <v>79.883699</v>
      </c>
    </row>
    <row r="43" spans="1:17" ht="12">
      <c r="A43" s="96">
        <v>1997</v>
      </c>
      <c r="B43" s="9">
        <v>312.0472150000001</v>
      </c>
      <c r="C43" s="9">
        <v>6.74954</v>
      </c>
      <c r="D43" s="9">
        <v>2.1958345714285707</v>
      </c>
      <c r="E43" s="9">
        <v>52.511329</v>
      </c>
      <c r="F43" s="9">
        <v>4.4898039999999995</v>
      </c>
      <c r="G43" s="9">
        <v>15.269544999999999</v>
      </c>
      <c r="H43" s="9">
        <v>53.54011200000001</v>
      </c>
      <c r="I43" s="9">
        <v>3.635869</v>
      </c>
      <c r="J43" s="9">
        <v>21.046912</v>
      </c>
      <c r="K43" s="9">
        <v>0</v>
      </c>
      <c r="L43" s="9">
        <v>48.870565</v>
      </c>
      <c r="M43" s="9">
        <v>4.043127999999999</v>
      </c>
      <c r="N43" s="9">
        <v>4.213915999999999</v>
      </c>
      <c r="O43" s="9">
        <v>3.40469</v>
      </c>
      <c r="P43" s="9">
        <v>5.489586428571429</v>
      </c>
      <c r="Q43" s="9">
        <v>86.586384</v>
      </c>
    </row>
    <row r="44" spans="1:17" ht="12">
      <c r="A44" s="96">
        <v>1998</v>
      </c>
      <c r="B44" s="9">
        <v>333.727255</v>
      </c>
      <c r="C44" s="9">
        <v>9.662182000000001</v>
      </c>
      <c r="D44" s="9">
        <v>2.194656</v>
      </c>
      <c r="E44" s="9">
        <v>54.596273000000004</v>
      </c>
      <c r="F44" s="9">
        <v>4.186856000000001</v>
      </c>
      <c r="G44" s="9">
        <v>16.383273</v>
      </c>
      <c r="H44" s="9">
        <v>57.87044</v>
      </c>
      <c r="I44" s="9">
        <v>3.984234</v>
      </c>
      <c r="J44" s="9">
        <v>21.018613</v>
      </c>
      <c r="K44" s="9">
        <v>0</v>
      </c>
      <c r="L44" s="9">
        <v>50.294667000000004</v>
      </c>
      <c r="M44" s="9">
        <v>4.839092000000001</v>
      </c>
      <c r="N44" s="9">
        <v>4.493335999999999</v>
      </c>
      <c r="O44" s="9">
        <v>3.509353000000001</v>
      </c>
      <c r="P44" s="9">
        <v>5.48664</v>
      </c>
      <c r="Q44" s="9">
        <v>95.20764</v>
      </c>
    </row>
    <row r="45" spans="1:17" ht="12">
      <c r="A45" s="96">
        <v>1999</v>
      </c>
      <c r="B45" s="9">
        <v>360.95281</v>
      </c>
      <c r="C45" s="9">
        <v>11.179742000000003</v>
      </c>
      <c r="D45" s="9">
        <v>2.2407805714285716</v>
      </c>
      <c r="E45" s="9">
        <v>63.77197199999999</v>
      </c>
      <c r="F45" s="9">
        <v>3.9873889999999994</v>
      </c>
      <c r="G45" s="9">
        <v>19.890818</v>
      </c>
      <c r="H45" s="9">
        <v>65.217028</v>
      </c>
      <c r="I45" s="9">
        <v>4.779140999999999</v>
      </c>
      <c r="J45" s="9">
        <v>22.367009</v>
      </c>
      <c r="K45" s="9">
        <v>0.18610699999999997</v>
      </c>
      <c r="L45" s="9">
        <v>50.666762999999996</v>
      </c>
      <c r="M45" s="9">
        <v>5.539680000000001</v>
      </c>
      <c r="N45" s="9">
        <v>4.634593000000001</v>
      </c>
      <c r="O45" s="9">
        <v>3.168808999999999</v>
      </c>
      <c r="P45" s="9">
        <v>5.601951428571429</v>
      </c>
      <c r="Q45" s="9">
        <v>97.721027</v>
      </c>
    </row>
    <row r="46" spans="1:17" ht="12">
      <c r="A46" s="96">
        <v>2000</v>
      </c>
      <c r="B46" s="9">
        <v>386.125922</v>
      </c>
      <c r="C46" s="9">
        <v>12.153214999999998</v>
      </c>
      <c r="D46" s="9">
        <v>2.3916031428571434</v>
      </c>
      <c r="E46" s="9">
        <v>69.984206</v>
      </c>
      <c r="F46" s="9">
        <v>4.049117</v>
      </c>
      <c r="G46" s="9">
        <v>23.345264999999998</v>
      </c>
      <c r="H46" s="9">
        <v>72.11919799999998</v>
      </c>
      <c r="I46" s="9">
        <v>5.929194</v>
      </c>
      <c r="J46" s="9">
        <v>25.637677999999998</v>
      </c>
      <c r="K46" s="9">
        <v>0</v>
      </c>
      <c r="L46" s="9">
        <v>52.186489</v>
      </c>
      <c r="M46" s="9">
        <v>6.365083</v>
      </c>
      <c r="N46" s="9">
        <v>5.1986040000000004</v>
      </c>
      <c r="O46" s="9">
        <v>2.725727</v>
      </c>
      <c r="P46" s="9">
        <v>5.979007857142856</v>
      </c>
      <c r="Q46" s="9">
        <v>98.061535</v>
      </c>
    </row>
    <row r="47" spans="1:17" ht="12">
      <c r="A47" s="96">
        <v>2001</v>
      </c>
      <c r="B47" s="9" t="s">
        <v>4</v>
      </c>
      <c r="C47" s="9" t="s">
        <v>4</v>
      </c>
      <c r="D47" s="9" t="s">
        <v>4</v>
      </c>
      <c r="E47" s="9" t="s">
        <v>4</v>
      </c>
      <c r="F47" s="9" t="s">
        <v>4</v>
      </c>
      <c r="G47" s="9" t="s">
        <v>4</v>
      </c>
      <c r="H47" s="9" t="s">
        <v>4</v>
      </c>
      <c r="I47" s="9" t="s">
        <v>4</v>
      </c>
      <c r="J47" s="9" t="s">
        <v>4</v>
      </c>
      <c r="K47" s="9" t="s">
        <v>4</v>
      </c>
      <c r="L47" s="9" t="s">
        <v>4</v>
      </c>
      <c r="M47" s="9" t="s">
        <v>4</v>
      </c>
      <c r="N47" s="9" t="s">
        <v>4</v>
      </c>
      <c r="O47" s="9" t="s">
        <v>4</v>
      </c>
      <c r="P47" s="9" t="s">
        <v>4</v>
      </c>
      <c r="Q47" s="9" t="s">
        <v>4</v>
      </c>
    </row>
    <row r="49" spans="1:2" ht="11.25">
      <c r="A49" s="3" t="s">
        <v>50</v>
      </c>
      <c r="B49" s="3" t="s">
        <v>135</v>
      </c>
    </row>
    <row r="52" ht="11.25">
      <c r="B52" s="3" t="s">
        <v>382</v>
      </c>
    </row>
    <row r="53" spans="1:17" ht="11.25">
      <c r="A53" s="3">
        <v>1990</v>
      </c>
      <c r="B53" s="372">
        <f>+B6+B21</f>
        <v>85.244039</v>
      </c>
      <c r="C53" s="372">
        <f aca="true" t="shared" si="0" ref="C53:Q53">+C6+C21</f>
        <v>1.653988</v>
      </c>
      <c r="D53" s="372">
        <f t="shared" si="0"/>
        <v>2.5851800000000003</v>
      </c>
      <c r="E53" s="372">
        <f t="shared" si="0"/>
        <v>10.65981</v>
      </c>
      <c r="F53" s="372">
        <f t="shared" si="0"/>
        <v>3.866336</v>
      </c>
      <c r="G53" s="372">
        <f t="shared" si="0"/>
        <v>11.359203</v>
      </c>
      <c r="H53" s="372">
        <f t="shared" si="0"/>
        <v>15.212812</v>
      </c>
      <c r="I53" s="372">
        <f t="shared" si="0"/>
        <v>1.8010910000000002</v>
      </c>
      <c r="J53" s="372">
        <f t="shared" si="0"/>
        <v>6.818098</v>
      </c>
      <c r="K53" s="372">
        <f t="shared" si="0"/>
        <v>0.25313599999999997</v>
      </c>
      <c r="L53" s="372">
        <f t="shared" si="0"/>
        <v>2.76152</v>
      </c>
      <c r="M53" s="372">
        <f t="shared" si="0"/>
        <v>1.7142750000000002</v>
      </c>
      <c r="N53" s="372">
        <f t="shared" si="0"/>
        <v>3.2140759999999995</v>
      </c>
      <c r="O53" s="372">
        <f t="shared" si="0"/>
        <v>2.702623</v>
      </c>
      <c r="P53" s="372">
        <f t="shared" si="0"/>
        <v>6.46295</v>
      </c>
      <c r="Q53" s="372">
        <f t="shared" si="0"/>
        <v>14.178941</v>
      </c>
    </row>
    <row r="54" spans="1:17" ht="11.25">
      <c r="A54" s="3">
        <v>1991</v>
      </c>
      <c r="B54" s="372">
        <f aca="true" t="shared" si="1" ref="B54:Q63">+B7+B22</f>
        <v>81.835993</v>
      </c>
      <c r="C54" s="372">
        <f t="shared" si="1"/>
        <v>1.6815740000000001</v>
      </c>
      <c r="D54" s="372">
        <f t="shared" si="1"/>
        <v>2.4151554285714285</v>
      </c>
      <c r="E54" s="372">
        <f t="shared" si="1"/>
        <v>12.141570999999999</v>
      </c>
      <c r="F54" s="372">
        <f t="shared" si="1"/>
        <v>3.1482889999999997</v>
      </c>
      <c r="G54" s="372">
        <f t="shared" si="1"/>
        <v>10.300054</v>
      </c>
      <c r="H54" s="372">
        <f t="shared" si="1"/>
        <v>13.844949999999999</v>
      </c>
      <c r="I54" s="372">
        <f t="shared" si="1"/>
        <v>1.858706</v>
      </c>
      <c r="J54" s="372">
        <f t="shared" si="1"/>
        <v>6.668804000000001</v>
      </c>
      <c r="K54" s="372">
        <f t="shared" si="1"/>
        <v>0.258169</v>
      </c>
      <c r="L54" s="372">
        <f t="shared" si="1"/>
        <v>2.8276429999999997</v>
      </c>
      <c r="M54" s="372">
        <f t="shared" si="1"/>
        <v>1.773077</v>
      </c>
      <c r="N54" s="372">
        <f t="shared" si="1"/>
        <v>3.432534</v>
      </c>
      <c r="O54" s="372">
        <f t="shared" si="1"/>
        <v>2.417067</v>
      </c>
      <c r="P54" s="372">
        <f t="shared" si="1"/>
        <v>6.037888571428572</v>
      </c>
      <c r="Q54" s="372">
        <f t="shared" si="1"/>
        <v>13.030510999999999</v>
      </c>
    </row>
    <row r="55" spans="1:17" ht="11.25">
      <c r="A55" s="3">
        <v>1992</v>
      </c>
      <c r="B55" s="372">
        <f t="shared" si="1"/>
        <v>91.57018</v>
      </c>
      <c r="C55" s="372">
        <f t="shared" si="1"/>
        <v>1.840474</v>
      </c>
      <c r="D55" s="372">
        <f t="shared" si="1"/>
        <v>2.5550805714285714</v>
      </c>
      <c r="E55" s="372">
        <f t="shared" si="1"/>
        <v>13.822171999999998</v>
      </c>
      <c r="F55" s="372">
        <f t="shared" si="1"/>
        <v>3.5842140000000002</v>
      </c>
      <c r="G55" s="372">
        <f t="shared" si="1"/>
        <v>11.505783000000001</v>
      </c>
      <c r="H55" s="372">
        <f t="shared" si="1"/>
        <v>13.11461</v>
      </c>
      <c r="I55" s="372">
        <f t="shared" si="1"/>
        <v>1.859195</v>
      </c>
      <c r="J55" s="372">
        <f t="shared" si="1"/>
        <v>7.618777</v>
      </c>
      <c r="K55" s="372">
        <f t="shared" si="1"/>
        <v>0.286118</v>
      </c>
      <c r="L55" s="372">
        <f t="shared" si="1"/>
        <v>3.400537</v>
      </c>
      <c r="M55" s="372">
        <f t="shared" si="1"/>
        <v>1.9770889999999999</v>
      </c>
      <c r="N55" s="372">
        <f t="shared" si="1"/>
        <v>3.716518</v>
      </c>
      <c r="O55" s="372">
        <f t="shared" si="1"/>
        <v>2.419741</v>
      </c>
      <c r="P55" s="372">
        <f t="shared" si="1"/>
        <v>6.387701428571429</v>
      </c>
      <c r="Q55" s="372">
        <f t="shared" si="1"/>
        <v>17.48217</v>
      </c>
    </row>
    <row r="56" spans="1:17" ht="11.25">
      <c r="A56" s="3">
        <v>1993</v>
      </c>
      <c r="B56" s="372">
        <f t="shared" si="1"/>
        <v>97.20987800000002</v>
      </c>
      <c r="C56" s="372">
        <f t="shared" si="1"/>
        <v>2.234333</v>
      </c>
      <c r="D56" s="372">
        <f t="shared" si="1"/>
        <v>3.1118325714285717</v>
      </c>
      <c r="E56" s="372">
        <f t="shared" si="1"/>
        <v>14.866786000000001</v>
      </c>
      <c r="F56" s="372">
        <f t="shared" si="1"/>
        <v>3.6456020000000002</v>
      </c>
      <c r="G56" s="372">
        <f t="shared" si="1"/>
        <v>10.945574999999998</v>
      </c>
      <c r="H56" s="372">
        <f t="shared" si="1"/>
        <v>12.874978</v>
      </c>
      <c r="I56" s="372">
        <f t="shared" si="1"/>
        <v>1.712948</v>
      </c>
      <c r="J56" s="372">
        <f t="shared" si="1"/>
        <v>7.514219</v>
      </c>
      <c r="K56" s="372">
        <f t="shared" si="1"/>
        <v>0.290451</v>
      </c>
      <c r="L56" s="372">
        <f t="shared" si="1"/>
        <v>4.071313</v>
      </c>
      <c r="M56" s="372">
        <f t="shared" si="1"/>
        <v>1.9776340000000001</v>
      </c>
      <c r="N56" s="372">
        <f t="shared" si="1"/>
        <v>3.8887840000000002</v>
      </c>
      <c r="O56" s="372">
        <f t="shared" si="1"/>
        <v>2.658141</v>
      </c>
      <c r="P56" s="372">
        <f t="shared" si="1"/>
        <v>7.7795814285714275</v>
      </c>
      <c r="Q56" s="372">
        <f t="shared" si="1"/>
        <v>19.6377</v>
      </c>
    </row>
    <row r="57" spans="1:17" ht="11.25">
      <c r="A57" s="3">
        <v>1994</v>
      </c>
      <c r="B57" s="372">
        <f t="shared" si="1"/>
        <v>104.14327399999999</v>
      </c>
      <c r="C57" s="372">
        <f t="shared" si="1"/>
        <v>2.6273739999999997</v>
      </c>
      <c r="D57" s="372">
        <f t="shared" si="1"/>
        <v>3.180700285714286</v>
      </c>
      <c r="E57" s="372">
        <f t="shared" si="1"/>
        <v>15.672136</v>
      </c>
      <c r="F57" s="372">
        <f t="shared" si="1"/>
        <v>4.031278</v>
      </c>
      <c r="G57" s="372">
        <f t="shared" si="1"/>
        <v>10.209365</v>
      </c>
      <c r="H57" s="372">
        <f t="shared" si="1"/>
        <v>14.301537</v>
      </c>
      <c r="I57" s="372">
        <f t="shared" si="1"/>
        <v>1.7147229999999998</v>
      </c>
      <c r="J57" s="372">
        <f t="shared" si="1"/>
        <v>8.728674</v>
      </c>
      <c r="K57" s="372">
        <f t="shared" si="1"/>
        <v>0.36114999999999997</v>
      </c>
      <c r="L57" s="372">
        <f t="shared" si="1"/>
        <v>4.9750179999999995</v>
      </c>
      <c r="M57" s="372">
        <f t="shared" si="1"/>
        <v>1.977992</v>
      </c>
      <c r="N57" s="372">
        <f t="shared" si="1"/>
        <v>3.781997</v>
      </c>
      <c r="O57" s="372">
        <f t="shared" si="1"/>
        <v>3.497195</v>
      </c>
      <c r="P57" s="372">
        <f t="shared" si="1"/>
        <v>7.951750714285714</v>
      </c>
      <c r="Q57" s="372">
        <f t="shared" si="1"/>
        <v>21.132384000000002</v>
      </c>
    </row>
    <row r="58" spans="1:17" ht="11.25">
      <c r="A58" s="3">
        <v>1995</v>
      </c>
      <c r="B58" s="372">
        <f t="shared" si="1"/>
        <v>105.768876</v>
      </c>
      <c r="C58" s="372">
        <f t="shared" si="1"/>
        <v>3.183217</v>
      </c>
      <c r="D58" s="372">
        <f t="shared" si="1"/>
        <v>3.2118648571428574</v>
      </c>
      <c r="E58" s="372">
        <f t="shared" si="1"/>
        <v>17.095744</v>
      </c>
      <c r="F58" s="372">
        <f t="shared" si="1"/>
        <v>4.059493</v>
      </c>
      <c r="G58" s="372">
        <f t="shared" si="1"/>
        <v>10.532801000000001</v>
      </c>
      <c r="H58" s="372">
        <f t="shared" si="1"/>
        <v>6.291935</v>
      </c>
      <c r="I58" s="372">
        <f t="shared" si="1"/>
        <v>1.896676</v>
      </c>
      <c r="J58" s="372">
        <f t="shared" si="1"/>
        <v>12.480691</v>
      </c>
      <c r="K58" s="372">
        <f t="shared" si="1"/>
        <v>0.380074</v>
      </c>
      <c r="L58" s="372">
        <f t="shared" si="1"/>
        <v>5.125526000000001</v>
      </c>
      <c r="M58" s="372">
        <f t="shared" si="1"/>
        <v>2.1176369999999998</v>
      </c>
      <c r="N58" s="372">
        <f t="shared" si="1"/>
        <v>4.06714</v>
      </c>
      <c r="O58" s="372">
        <f t="shared" si="1"/>
        <v>5.046716</v>
      </c>
      <c r="P58" s="372">
        <f t="shared" si="1"/>
        <v>8.029662142857143</v>
      </c>
      <c r="Q58" s="372">
        <f t="shared" si="1"/>
        <v>22.249699</v>
      </c>
    </row>
    <row r="59" spans="1:17" ht="11.25">
      <c r="A59" s="3">
        <v>1996</v>
      </c>
      <c r="B59" s="372">
        <f t="shared" si="1"/>
        <v>112.877249</v>
      </c>
      <c r="C59" s="372">
        <f t="shared" si="1"/>
        <v>3.312376</v>
      </c>
      <c r="D59" s="372">
        <f t="shared" si="1"/>
        <v>3.393515428571429</v>
      </c>
      <c r="E59" s="372">
        <f t="shared" si="1"/>
        <v>17.592589</v>
      </c>
      <c r="F59" s="372">
        <f t="shared" si="1"/>
        <v>4.2557979999999995</v>
      </c>
      <c r="G59" s="372">
        <f t="shared" si="1"/>
        <v>11.61551</v>
      </c>
      <c r="H59" s="372">
        <f t="shared" si="1"/>
        <v>7.023211999999999</v>
      </c>
      <c r="I59" s="372">
        <f t="shared" si="1"/>
        <v>2.045758</v>
      </c>
      <c r="J59" s="372">
        <f t="shared" si="1"/>
        <v>14.107083</v>
      </c>
      <c r="K59" s="372">
        <f t="shared" si="1"/>
        <v>0.420996</v>
      </c>
      <c r="L59" s="372">
        <f t="shared" si="1"/>
        <v>5.587187</v>
      </c>
      <c r="M59" s="372">
        <f t="shared" si="1"/>
        <v>2.1147189999999996</v>
      </c>
      <c r="N59" s="372">
        <f t="shared" si="1"/>
        <v>4.255859</v>
      </c>
      <c r="O59" s="372">
        <f t="shared" si="1"/>
        <v>5.277861000000001</v>
      </c>
      <c r="P59" s="372">
        <f t="shared" si="1"/>
        <v>8.48378857142857</v>
      </c>
      <c r="Q59" s="372">
        <f t="shared" si="1"/>
        <v>23.390997</v>
      </c>
    </row>
    <row r="60" spans="1:17" ht="11.25">
      <c r="A60" s="3">
        <v>1997</v>
      </c>
      <c r="B60" s="372">
        <f t="shared" si="1"/>
        <v>128.82039199999997</v>
      </c>
      <c r="C60" s="372">
        <f t="shared" si="1"/>
        <v>4.524037</v>
      </c>
      <c r="D60" s="372">
        <f t="shared" si="1"/>
        <v>3.612907142857143</v>
      </c>
      <c r="E60" s="372">
        <f t="shared" si="1"/>
        <v>18.841684</v>
      </c>
      <c r="F60" s="372">
        <f t="shared" si="1"/>
        <v>4.770844</v>
      </c>
      <c r="G60" s="372">
        <f t="shared" si="1"/>
        <v>12.364345</v>
      </c>
      <c r="H60" s="372">
        <f t="shared" si="1"/>
        <v>16.448442</v>
      </c>
      <c r="I60" s="372">
        <f t="shared" si="1"/>
        <v>2.2565949999999995</v>
      </c>
      <c r="J60" s="372">
        <f t="shared" si="1"/>
        <v>14.94541</v>
      </c>
      <c r="K60" s="372">
        <f t="shared" si="1"/>
        <v>0.446551</v>
      </c>
      <c r="L60" s="372">
        <f t="shared" si="1"/>
        <v>6.517234</v>
      </c>
      <c r="M60" s="372">
        <f t="shared" si="1"/>
        <v>2.186473</v>
      </c>
      <c r="N60" s="372">
        <f t="shared" si="1"/>
        <v>4.55868</v>
      </c>
      <c r="O60" s="372">
        <f t="shared" si="1"/>
        <v>6.224086</v>
      </c>
      <c r="P60" s="372">
        <f t="shared" si="1"/>
        <v>9.032267857142857</v>
      </c>
      <c r="Q60" s="372">
        <f t="shared" si="1"/>
        <v>22.090836</v>
      </c>
    </row>
    <row r="61" spans="1:17" ht="11.25">
      <c r="A61" s="3">
        <v>1998</v>
      </c>
      <c r="B61" s="372">
        <f t="shared" si="1"/>
        <v>139.682879</v>
      </c>
      <c r="C61" s="372">
        <f t="shared" si="1"/>
        <v>5.676299</v>
      </c>
      <c r="D61" s="372">
        <f t="shared" si="1"/>
        <v>3.7542562857142854</v>
      </c>
      <c r="E61" s="372">
        <f t="shared" si="1"/>
        <v>20.841583</v>
      </c>
      <c r="F61" s="372">
        <f t="shared" si="1"/>
        <v>4.374299</v>
      </c>
      <c r="G61" s="372">
        <f t="shared" si="1"/>
        <v>16.137422</v>
      </c>
      <c r="H61" s="372">
        <f t="shared" si="1"/>
        <v>16.676059000000002</v>
      </c>
      <c r="I61" s="372">
        <f t="shared" si="1"/>
        <v>2.4821489999999997</v>
      </c>
      <c r="J61" s="372">
        <f t="shared" si="1"/>
        <v>14.542383000000001</v>
      </c>
      <c r="K61" s="372">
        <f t="shared" si="1"/>
        <v>0.453941</v>
      </c>
      <c r="L61" s="372">
        <f t="shared" si="1"/>
        <v>6.984161</v>
      </c>
      <c r="M61" s="372">
        <f t="shared" si="1"/>
        <v>2.4444450000000004</v>
      </c>
      <c r="N61" s="372">
        <f t="shared" si="1"/>
        <v>4.862609</v>
      </c>
      <c r="O61" s="372">
        <f t="shared" si="1"/>
        <v>7.204327999999999</v>
      </c>
      <c r="P61" s="372">
        <f t="shared" si="1"/>
        <v>9.385640714285714</v>
      </c>
      <c r="Q61" s="372">
        <f t="shared" si="1"/>
        <v>23.863304</v>
      </c>
    </row>
    <row r="62" spans="1:17" ht="11.25">
      <c r="A62" s="3">
        <v>1999</v>
      </c>
      <c r="B62" s="372">
        <f t="shared" si="1"/>
        <v>145.06965899999997</v>
      </c>
      <c r="C62" s="372">
        <f t="shared" si="1"/>
        <v>6.5132259999999995</v>
      </c>
      <c r="D62" s="372">
        <f t="shared" si="1"/>
        <v>3.8049348571428574</v>
      </c>
      <c r="E62" s="372">
        <f t="shared" si="1"/>
        <v>22.381760999999997</v>
      </c>
      <c r="F62" s="372">
        <f t="shared" si="1"/>
        <v>4.318061999999999</v>
      </c>
      <c r="G62" s="372">
        <f t="shared" si="1"/>
        <v>19.365147999999998</v>
      </c>
      <c r="H62" s="372">
        <f t="shared" si="1"/>
        <v>18.605503</v>
      </c>
      <c r="I62" s="372">
        <f t="shared" si="1"/>
        <v>2.822747</v>
      </c>
      <c r="J62" s="372">
        <f t="shared" si="1"/>
        <v>14.322989</v>
      </c>
      <c r="K62" s="372">
        <f t="shared" si="1"/>
        <v>0.552126</v>
      </c>
      <c r="L62" s="372">
        <f t="shared" si="1"/>
        <v>7.445784</v>
      </c>
      <c r="M62" s="372">
        <f t="shared" si="1"/>
        <v>2.3511539999999997</v>
      </c>
      <c r="N62" s="372">
        <f t="shared" si="1"/>
        <v>4.745168</v>
      </c>
      <c r="O62" s="372">
        <f t="shared" si="1"/>
        <v>4.633671</v>
      </c>
      <c r="P62" s="372">
        <f t="shared" si="1"/>
        <v>9.512337142857142</v>
      </c>
      <c r="Q62" s="372">
        <f t="shared" si="1"/>
        <v>23.695048</v>
      </c>
    </row>
    <row r="63" spans="1:17" ht="11.25">
      <c r="A63" s="3">
        <v>2000</v>
      </c>
      <c r="B63" s="372">
        <f t="shared" si="1"/>
        <v>155.96227900000002</v>
      </c>
      <c r="C63" s="372">
        <f t="shared" si="1"/>
        <v>7.225474</v>
      </c>
      <c r="D63" s="372">
        <f t="shared" si="1"/>
        <v>4.0790502857142865</v>
      </c>
      <c r="E63" s="372">
        <f t="shared" si="1"/>
        <v>24.185346</v>
      </c>
      <c r="F63" s="372">
        <f t="shared" si="1"/>
        <v>4.810391</v>
      </c>
      <c r="G63" s="372">
        <f t="shared" si="1"/>
        <v>22.118212</v>
      </c>
      <c r="H63" s="372">
        <f t="shared" si="1"/>
        <v>19.682092</v>
      </c>
      <c r="I63" s="372">
        <f t="shared" si="1"/>
        <v>2.9594829999999996</v>
      </c>
      <c r="J63" s="372">
        <f t="shared" si="1"/>
        <v>14.980505</v>
      </c>
      <c r="K63" s="372">
        <f t="shared" si="1"/>
        <v>0.557327</v>
      </c>
      <c r="L63" s="372">
        <f t="shared" si="1"/>
        <v>8.140130000000001</v>
      </c>
      <c r="M63" s="372">
        <f t="shared" si="1"/>
        <v>2.433876</v>
      </c>
      <c r="N63" s="372">
        <f t="shared" si="1"/>
        <v>5.186415</v>
      </c>
      <c r="O63" s="372">
        <f t="shared" si="1"/>
        <v>4.741455</v>
      </c>
      <c r="P63" s="372">
        <f t="shared" si="1"/>
        <v>10.197625714285714</v>
      </c>
      <c r="Q63" s="372">
        <f t="shared" si="1"/>
        <v>24.664897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/>
  <dimension ref="A1:L125"/>
  <sheetViews>
    <sheetView tabSelected="1" workbookViewId="0" topLeftCell="A29">
      <selection activeCell="H86" sqref="H86"/>
    </sheetView>
  </sheetViews>
  <sheetFormatPr defaultColWidth="9.140625" defaultRowHeight="12.75"/>
  <cols>
    <col min="1" max="16384" width="9.140625" style="164" customWidth="1"/>
  </cols>
  <sheetData>
    <row r="1" ht="12.75">
      <c r="A1" s="164" t="s">
        <v>128</v>
      </c>
    </row>
    <row r="2" ht="12.75">
      <c r="B2" s="164" t="s">
        <v>129</v>
      </c>
    </row>
    <row r="4" spans="1:12" ht="12.75">
      <c r="A4" s="159"/>
      <c r="B4" s="165">
        <v>1990</v>
      </c>
      <c r="C4" s="165">
        <v>1991</v>
      </c>
      <c r="D4" s="165">
        <v>1992</v>
      </c>
      <c r="E4" s="165">
        <v>1993</v>
      </c>
      <c r="F4" s="165">
        <v>1994</v>
      </c>
      <c r="G4" s="165">
        <v>1995</v>
      </c>
      <c r="H4" s="165">
        <v>1996</v>
      </c>
      <c r="I4" s="165">
        <v>1997</v>
      </c>
      <c r="J4" s="165">
        <v>1998</v>
      </c>
      <c r="K4" s="165">
        <v>1999</v>
      </c>
      <c r="L4" s="165">
        <v>2000</v>
      </c>
    </row>
    <row r="5" spans="1:12" ht="12.75">
      <c r="A5" s="160" t="s">
        <v>5</v>
      </c>
      <c r="B5" s="139">
        <f aca="true" t="shared" si="0" ref="B5:L5">SUM(B6:B20)</f>
        <v>28839.054</v>
      </c>
      <c r="C5" s="139">
        <f t="shared" si="0"/>
        <v>28334.400999999998</v>
      </c>
      <c r="D5" s="139">
        <f t="shared" si="0"/>
        <v>31171.726999999995</v>
      </c>
      <c r="E5" s="139">
        <f t="shared" si="0"/>
        <v>32056.007000000005</v>
      </c>
      <c r="F5" s="139">
        <f t="shared" si="0"/>
        <v>33077.871999999996</v>
      </c>
      <c r="G5" s="139">
        <f t="shared" si="0"/>
        <v>28428.339999999997</v>
      </c>
      <c r="H5" s="139">
        <f t="shared" si="0"/>
        <v>30815.857</v>
      </c>
      <c r="I5" s="139">
        <f t="shared" si="0"/>
        <v>38426.492</v>
      </c>
      <c r="J5" s="139">
        <f t="shared" si="0"/>
        <v>42672.391</v>
      </c>
      <c r="K5" s="139">
        <f t="shared" si="0"/>
        <v>46399.015</v>
      </c>
      <c r="L5" s="139">
        <f t="shared" si="0"/>
        <v>49223.038</v>
      </c>
    </row>
    <row r="6" spans="1:12" ht="12.75">
      <c r="A6" s="160" t="s">
        <v>66</v>
      </c>
      <c r="B6" s="139">
        <f>'[2]Domestic'!B$5/1000</f>
        <v>0</v>
      </c>
      <c r="C6" s="139">
        <f>'[2]Domestic'!C$5/1000</f>
        <v>0</v>
      </c>
      <c r="D6" s="139">
        <f>'[2]Domestic'!D$5/1000</f>
        <v>0</v>
      </c>
      <c r="E6" s="139">
        <f>'[2]Domestic'!E$5/1000</f>
        <v>0</v>
      </c>
      <c r="F6" s="139">
        <f>'[2]Domestic'!F$5/1000</f>
        <v>0</v>
      </c>
      <c r="G6" s="139">
        <f>'[2]Domestic'!G$5/1000</f>
        <v>0</v>
      </c>
      <c r="H6" s="139">
        <f>'[2]Domestic'!H$5/1000</f>
        <v>0</v>
      </c>
      <c r="I6" s="139">
        <f>'[2]Domestic'!I$5/1000</f>
        <v>0</v>
      </c>
      <c r="J6" s="139">
        <f>'[2]Domestic'!J$5/1000</f>
        <v>0</v>
      </c>
      <c r="K6" s="139">
        <f>'[2]Domestic'!K$5/1000</f>
        <v>0</v>
      </c>
      <c r="L6" s="139">
        <f>'[2]Domestic'!L$5/1000</f>
        <v>0</v>
      </c>
    </row>
    <row r="7" spans="1:12" ht="12.75">
      <c r="A7" s="160" t="s">
        <v>67</v>
      </c>
      <c r="B7" s="139">
        <f>2*'[2]Domestic'!B$6/7000</f>
        <v>935.9371428571428</v>
      </c>
      <c r="C7" s="139">
        <f>2*'[2]Domestic'!C$6/7000</f>
        <v>847.8402857142858</v>
      </c>
      <c r="D7" s="139">
        <f>2*'[2]Domestic'!D$6/7000</f>
        <v>848.432</v>
      </c>
      <c r="E7" s="139">
        <f>2*'[2]Domestic'!E$6/7000</f>
        <v>1219.8502857142857</v>
      </c>
      <c r="F7" s="139">
        <f>2*'[2]Domestic'!F$6/7000</f>
        <v>1188.923142857143</v>
      </c>
      <c r="G7" s="139">
        <f>2*'[2]Domestic'!G$6/7000</f>
        <v>1125.6397142857143</v>
      </c>
      <c r="H7" s="139">
        <f>2*'[2]Domestic'!H$6/7000</f>
        <v>1163.788</v>
      </c>
      <c r="I7" s="139">
        <f>2*'[2]Domestic'!I$6/7000</f>
        <v>1174.0648571428571</v>
      </c>
      <c r="J7" s="139">
        <f>2*'[2]Domestic'!J$6/7000</f>
        <v>1247.356857142857</v>
      </c>
      <c r="K7" s="139">
        <f>2*'[2]Domestic'!K$6/7000</f>
        <v>1306.3788571428572</v>
      </c>
      <c r="L7" s="139">
        <f>2*'[2]Domestic'!L$6/7000</f>
        <v>1405.99</v>
      </c>
    </row>
    <row r="8" spans="1:12" ht="12.75">
      <c r="A8" s="160" t="s">
        <v>68</v>
      </c>
      <c r="B8" s="139">
        <f>'[2]Domestic'!B$7/1000</f>
        <v>2851.877</v>
      </c>
      <c r="C8" s="139">
        <f>'[2]Domestic'!C$7/1000</f>
        <v>4076.911</v>
      </c>
      <c r="D8" s="139">
        <f>'[2]Domestic'!D$7/1000</f>
        <v>4590.495</v>
      </c>
      <c r="E8" s="139">
        <f>'[2]Domestic'!E$7/1000</f>
        <v>4919.398</v>
      </c>
      <c r="F8" s="139">
        <f>'[2]Domestic'!F$7/1000</f>
        <v>4870.856</v>
      </c>
      <c r="G8" s="139">
        <f>'[2]Domestic'!G$7/1000</f>
        <v>5120.778</v>
      </c>
      <c r="H8" s="139">
        <f>'[2]Domestic'!H$7/1000</f>
        <v>4974.035</v>
      </c>
      <c r="I8" s="139">
        <f>'[2]Domestic'!I$7/1000</f>
        <v>4812.118</v>
      </c>
      <c r="J8" s="139">
        <f>'[2]Domestic'!J$7/1000</f>
        <v>5230.647</v>
      </c>
      <c r="K8" s="139">
        <f>'[2]Domestic'!K$7/1000</f>
        <v>5649.101</v>
      </c>
      <c r="L8" s="139">
        <f>'[2]Domestic'!L$7/1000</f>
        <v>6120.349</v>
      </c>
    </row>
    <row r="9" spans="1:12" ht="12.75">
      <c r="A9" s="160" t="s">
        <v>10</v>
      </c>
      <c r="B9" s="139">
        <f>'[2]Domestic'!B$8/1000</f>
        <v>1175.379</v>
      </c>
      <c r="C9" s="139">
        <f>'[2]Domestic'!C$8/1000</f>
        <v>962.722</v>
      </c>
      <c r="D9" s="139">
        <f>'[2]Domestic'!D$8/1000</f>
        <v>999.421</v>
      </c>
      <c r="E9" s="139">
        <f>'[2]Domestic'!E$8/1000</f>
        <v>935.138</v>
      </c>
      <c r="F9" s="139">
        <f>'[2]Domestic'!F$8/1000</f>
        <v>975.72</v>
      </c>
      <c r="G9" s="139">
        <f>'[2]Domestic'!G$8/1000</f>
        <v>1049.65</v>
      </c>
      <c r="H9" s="139">
        <f>'[2]Domestic'!H$8/1000</f>
        <v>1106.457</v>
      </c>
      <c r="I9" s="139">
        <f>'[2]Domestic'!I$8/1000</f>
        <v>1234.319</v>
      </c>
      <c r="J9" s="139">
        <f>'[2]Domestic'!J$8/1000</f>
        <v>1105.692</v>
      </c>
      <c r="K9" s="139">
        <f>'[2]Domestic'!K$8/1000</f>
        <v>1072.293</v>
      </c>
      <c r="L9" s="139">
        <f>'[2]Domestic'!L$8/1000</f>
        <v>1071.609</v>
      </c>
    </row>
    <row r="10" spans="1:12" ht="12.75">
      <c r="A10" s="160" t="s">
        <v>69</v>
      </c>
      <c r="B10" s="139">
        <f>'[2]Domestic'!B$9/1000</f>
        <v>4772.048</v>
      </c>
      <c r="C10" s="139">
        <f>'[2]Domestic'!C$9/1000</f>
        <v>4906.11</v>
      </c>
      <c r="D10" s="139">
        <f>'[2]Domestic'!D$9/1000</f>
        <v>6083.527</v>
      </c>
      <c r="E10" s="139">
        <f>'[2]Domestic'!E$9/1000</f>
        <v>5372.876</v>
      </c>
      <c r="F10" s="139">
        <f>'[2]Domestic'!F$9/1000</f>
        <v>4928.428</v>
      </c>
      <c r="G10" s="139">
        <f>'[2]Domestic'!G$9/1000</f>
        <v>3937.872</v>
      </c>
      <c r="H10" s="139">
        <f>'[2]Domestic'!H$9/1000</f>
        <v>5059.035</v>
      </c>
      <c r="I10" s="139">
        <f>'[2]Domestic'!I$9/1000</f>
        <v>5539.91</v>
      </c>
      <c r="J10" s="139">
        <f>'[2]Domestic'!J$9/1000</f>
        <v>8614.377</v>
      </c>
      <c r="K10" s="139">
        <f>'[2]Domestic'!K$9/1000</f>
        <v>11463.121</v>
      </c>
      <c r="L10" s="139">
        <f>'[2]Domestic'!L$9/1000</f>
        <v>12795.675</v>
      </c>
    </row>
    <row r="11" spans="1:12" ht="12.75">
      <c r="A11" s="160" t="s">
        <v>70</v>
      </c>
      <c r="B11" s="139">
        <f>'[2]Domestic'!B$10/1000</f>
        <v>9131.813</v>
      </c>
      <c r="C11" s="139">
        <f>'[2]Domestic'!C$10/1000</f>
        <v>8386.356</v>
      </c>
      <c r="D11" s="139">
        <f>'[2]Domestic'!D$10/1000</f>
        <v>7288.483</v>
      </c>
      <c r="E11" s="139">
        <f>'[2]Domestic'!E$10/1000</f>
        <v>7149.203</v>
      </c>
      <c r="F11" s="139">
        <f>'[2]Domestic'!F$10/1000</f>
        <v>7968.842</v>
      </c>
      <c r="G11" s="139">
        <f>'[2]Domestic'!G$10/1000</f>
        <v>415.818</v>
      </c>
      <c r="H11" s="139">
        <f>'[2]Domestic'!H$10/1000</f>
        <v>509.623</v>
      </c>
      <c r="I11" s="139">
        <f>'[2]Domestic'!I$10/1000</f>
        <v>8576.786</v>
      </c>
      <c r="J11" s="139">
        <f>'[2]Domestic'!J$10/1000</f>
        <v>8642.653</v>
      </c>
      <c r="K11" s="139">
        <f>'[2]Domestic'!K$10/1000</f>
        <v>9223.797</v>
      </c>
      <c r="L11" s="139">
        <f>'[2]Domestic'!L$10/1000</f>
        <v>9319.49</v>
      </c>
    </row>
    <row r="12" spans="1:12" ht="12.75">
      <c r="A12" s="160" t="s">
        <v>71</v>
      </c>
      <c r="B12" s="139">
        <f>'[2]Domestic'!B$11/1000</f>
        <v>70.23</v>
      </c>
      <c r="C12" s="139">
        <f>'[2]Domestic'!C$11/1000</f>
        <v>61.381</v>
      </c>
      <c r="D12" s="139">
        <f>'[2]Domestic'!D$11/1000</f>
        <v>60.69</v>
      </c>
      <c r="E12" s="139">
        <f>'[2]Domestic'!E$11/1000</f>
        <v>51.898</v>
      </c>
      <c r="F12" s="139">
        <f>'[2]Domestic'!F$11/1000</f>
        <v>57.902</v>
      </c>
      <c r="G12" s="139">
        <f>'[2]Domestic'!G$11/1000</f>
        <v>71.865</v>
      </c>
      <c r="H12" s="139">
        <f>'[2]Domestic'!H$11/1000</f>
        <v>67.988</v>
      </c>
      <c r="I12" s="139">
        <f>'[2]Domestic'!I$11/1000</f>
        <v>59.163</v>
      </c>
      <c r="J12" s="139">
        <f>'[2]Domestic'!J$11/1000</f>
        <v>68.304</v>
      </c>
      <c r="K12" s="139">
        <f>'[2]Domestic'!K$11/1000</f>
        <v>72.959</v>
      </c>
      <c r="L12" s="139">
        <f>'[2]Domestic'!L$11/1000</f>
        <v>80.698</v>
      </c>
    </row>
    <row r="13" spans="1:12" ht="12.75">
      <c r="A13" s="160" t="s">
        <v>72</v>
      </c>
      <c r="B13" s="139">
        <f>'[2]Domestic'!B$12/1000</f>
        <v>1983.705</v>
      </c>
      <c r="C13" s="139">
        <f>'[2]Domestic'!C$12/1000</f>
        <v>1831.152</v>
      </c>
      <c r="D13" s="139">
        <f>'[2]Domestic'!D$12/1000</f>
        <v>2029.112</v>
      </c>
      <c r="E13" s="139">
        <f>'[2]Domestic'!E$12/1000</f>
        <v>1826.519</v>
      </c>
      <c r="F13" s="139">
        <f>'[2]Domestic'!F$12/1000</f>
        <v>2347.054</v>
      </c>
      <c r="G13" s="139">
        <f>'[2]Domestic'!G$12/1000</f>
        <v>5598.741</v>
      </c>
      <c r="H13" s="139">
        <f>'[2]Domestic'!H$12/1000</f>
        <v>6277.54</v>
      </c>
      <c r="I13" s="139">
        <f>'[2]Domestic'!I$12/1000</f>
        <v>7047.198</v>
      </c>
      <c r="J13" s="139">
        <f>'[2]Domestic'!J$12/1000</f>
        <v>7094.752</v>
      </c>
      <c r="K13" s="139">
        <f>'[2]Domestic'!K$12/1000</f>
        <v>7031.973</v>
      </c>
      <c r="L13" s="139">
        <f>'[2]Domestic'!L$12/1000</f>
        <v>7221.109</v>
      </c>
    </row>
    <row r="14" spans="1:12" ht="12.75">
      <c r="A14" s="160" t="s">
        <v>73</v>
      </c>
      <c r="B14" s="139">
        <f>'[2]Domestic'!B$13/1000</f>
        <v>0</v>
      </c>
      <c r="C14" s="139">
        <f>'[2]Domestic'!C$13/1000</f>
        <v>0</v>
      </c>
      <c r="D14" s="139">
        <f>'[2]Domestic'!D$13/1000</f>
        <v>0</v>
      </c>
      <c r="E14" s="139">
        <f>'[2]Domestic'!E$13/1000</f>
        <v>0</v>
      </c>
      <c r="F14" s="139">
        <f>'[2]Domestic'!F$13/1000</f>
        <v>0</v>
      </c>
      <c r="G14" s="139">
        <f>'[2]Domestic'!G$13/1000</f>
        <v>0</v>
      </c>
      <c r="H14" s="139">
        <f>'[2]Domestic'!H$13/1000</f>
        <v>0</v>
      </c>
      <c r="I14" s="139">
        <f>'[2]Domestic'!I$13/1000</f>
        <v>0</v>
      </c>
      <c r="J14" s="139">
        <f>'[2]Domestic'!J$13/1000</f>
        <v>0</v>
      </c>
      <c r="K14" s="139">
        <f>'[2]Domestic'!K$13/1000</f>
        <v>0</v>
      </c>
      <c r="L14" s="139">
        <f>'[2]Domestic'!L$13/1000</f>
        <v>0</v>
      </c>
    </row>
    <row r="15" spans="1:12" ht="12.75">
      <c r="A15" s="160" t="s">
        <v>74</v>
      </c>
      <c r="B15" s="139">
        <f>'[2]Domestic'!B$14/1000</f>
        <v>7.748</v>
      </c>
      <c r="C15" s="139">
        <f>'[2]Domestic'!C$14/1000</f>
        <v>2.09</v>
      </c>
      <c r="D15" s="139">
        <f>'[2]Domestic'!D$14/1000</f>
        <v>0</v>
      </c>
      <c r="E15" s="139">
        <f>'[2]Domestic'!E$14/1000</f>
        <v>2.876</v>
      </c>
      <c r="F15" s="139">
        <f>'[2]Domestic'!F$14/1000</f>
        <v>4.242</v>
      </c>
      <c r="G15" s="139">
        <f>'[2]Domestic'!G$14/1000</f>
        <v>4.823</v>
      </c>
      <c r="H15" s="139">
        <f>'[2]Domestic'!H$14/1000</f>
        <v>0</v>
      </c>
      <c r="I15" s="139">
        <f>'[2]Domestic'!I$14/1000</f>
        <v>0</v>
      </c>
      <c r="J15" s="139">
        <f>'[2]Domestic'!J$14/1000</f>
        <v>0</v>
      </c>
      <c r="K15" s="139">
        <f>'[2]Domestic'!K$14/1000</f>
        <v>0</v>
      </c>
      <c r="L15" s="139">
        <f>'[2]Domestic'!L$14/1000</f>
        <v>0</v>
      </c>
    </row>
    <row r="16" spans="1:12" ht="12.75">
      <c r="A16" s="160" t="s">
        <v>75</v>
      </c>
      <c r="B16" s="139">
        <f>'[2]Domestic'!B$15/1000</f>
        <v>1.722</v>
      </c>
      <c r="C16" s="139">
        <f>'[2]Domestic'!C$15/1000</f>
        <v>0.062</v>
      </c>
      <c r="D16" s="139">
        <f>'[2]Domestic'!D$15/1000</f>
        <v>0.094</v>
      </c>
      <c r="E16" s="139">
        <f>'[2]Domestic'!E$15/1000</f>
        <v>0.075</v>
      </c>
      <c r="F16" s="139">
        <f>'[2]Domestic'!F$15/1000</f>
        <v>1.061</v>
      </c>
      <c r="G16" s="139">
        <f>'[2]Domestic'!G$15/1000</f>
        <v>1.102</v>
      </c>
      <c r="H16" s="139">
        <f>'[2]Domestic'!H$15/1000</f>
        <v>2.789</v>
      </c>
      <c r="I16" s="139">
        <f>'[2]Domestic'!I$15/1000</f>
        <v>1.915</v>
      </c>
      <c r="J16" s="139">
        <f>'[2]Domestic'!J$15/1000</f>
        <v>1.589</v>
      </c>
      <c r="K16" s="139">
        <f>'[2]Domestic'!K$15/1000</f>
        <v>3.251</v>
      </c>
      <c r="L16" s="139">
        <f>'[2]Domestic'!L$15/1000</f>
        <v>0</v>
      </c>
    </row>
    <row r="17" spans="1:12" ht="12.75">
      <c r="A17" s="160" t="s">
        <v>76</v>
      </c>
      <c r="B17" s="139">
        <f>'[2]Domestic'!B$16/1000</f>
        <v>768.273</v>
      </c>
      <c r="C17" s="139">
        <f>'[2]Domestic'!C$16/1000</f>
        <v>825.006</v>
      </c>
      <c r="D17" s="139">
        <f>'[2]Domestic'!D$16/1000</f>
        <v>878.759</v>
      </c>
      <c r="E17" s="139">
        <f>'[2]Domestic'!E$16/1000</f>
        <v>896.882</v>
      </c>
      <c r="F17" s="139">
        <f>'[2]Domestic'!F$16/1000</f>
        <v>969.829</v>
      </c>
      <c r="G17" s="139">
        <f>'[2]Domestic'!G$16/1000</f>
        <v>1112.949</v>
      </c>
      <c r="H17" s="139">
        <f>'[2]Domestic'!H$16/1000</f>
        <v>1155.726</v>
      </c>
      <c r="I17" s="139">
        <f>'[2]Domestic'!I$16/1000</f>
        <v>1219.506</v>
      </c>
      <c r="J17" s="139">
        <f>'[2]Domestic'!J$16/1000</f>
        <v>1381.534</v>
      </c>
      <c r="K17" s="139">
        <f>'[2]Domestic'!K$16/1000</f>
        <v>1242.308</v>
      </c>
      <c r="L17" s="139">
        <f>'[2]Domestic'!L$16/1000</f>
        <v>1219.617</v>
      </c>
    </row>
    <row r="18" spans="1:12" ht="12.75">
      <c r="A18" s="160" t="s">
        <v>19</v>
      </c>
      <c r="B18" s="139">
        <f>'[2]Domestic'!B$17/1000</f>
        <v>839.942</v>
      </c>
      <c r="C18" s="139">
        <f>'[2]Domestic'!C$17/1000</f>
        <v>734.316</v>
      </c>
      <c r="D18" s="139">
        <f>'[2]Domestic'!D$17/1000</f>
        <v>691.05</v>
      </c>
      <c r="E18" s="139">
        <f>'[2]Domestic'!E$17/1000</f>
        <v>605.025</v>
      </c>
      <c r="F18" s="139">
        <f>'[2]Domestic'!F$17/1000</f>
        <v>618.691</v>
      </c>
      <c r="G18" s="139">
        <f>'[2]Domestic'!G$17/1000</f>
        <v>681.189</v>
      </c>
      <c r="H18" s="139">
        <f>'[2]Domestic'!H$17/1000</f>
        <v>824.886</v>
      </c>
      <c r="I18" s="139">
        <f>'[2]Domestic'!I$17/1000</f>
        <v>1099.714</v>
      </c>
      <c r="J18" s="139">
        <f>'[2]Domestic'!J$17/1000</f>
        <v>1246.468</v>
      </c>
      <c r="K18" s="139">
        <f>'[2]Domestic'!K$17/1000</f>
        <v>1210.016</v>
      </c>
      <c r="L18" s="139">
        <f>'[2]Domestic'!L$17/1000</f>
        <v>1278.703</v>
      </c>
    </row>
    <row r="19" spans="1:12" ht="12.75">
      <c r="A19" s="160" t="s">
        <v>20</v>
      </c>
      <c r="B19" s="139">
        <f>5*'[2]Domestic'!B$6/7000</f>
        <v>2339.842857142857</v>
      </c>
      <c r="C19" s="139">
        <f>5*'[2]Domestic'!C$6/7000</f>
        <v>2119.6007142857143</v>
      </c>
      <c r="D19" s="139">
        <f>5*'[2]Domestic'!D$6/7000</f>
        <v>2121.08</v>
      </c>
      <c r="E19" s="139">
        <f>5*'[2]Domestic'!E$6/7000</f>
        <v>3049.6257142857144</v>
      </c>
      <c r="F19" s="139">
        <f>5*'[2]Domestic'!F$6/7000</f>
        <v>2972.3078571428573</v>
      </c>
      <c r="G19" s="139">
        <f>5*'[2]Domestic'!G$6/7000</f>
        <v>2814.0992857142855</v>
      </c>
      <c r="H19" s="139">
        <f>5*'[2]Domestic'!H$6/7000</f>
        <v>2909.47</v>
      </c>
      <c r="I19" s="139">
        <f>5*'[2]Domestic'!I$6/7000</f>
        <v>2935.162142857143</v>
      </c>
      <c r="J19" s="139">
        <f>5*'[2]Domestic'!J$6/7000</f>
        <v>3118.392142857143</v>
      </c>
      <c r="K19" s="139">
        <f>5*'[2]Domestic'!K$6/7000</f>
        <v>3265.947142857143</v>
      </c>
      <c r="L19" s="139">
        <f>5*'[2]Domestic'!L$6/7000</f>
        <v>3514.975</v>
      </c>
    </row>
    <row r="20" spans="1:12" ht="12.75">
      <c r="A20" s="160" t="s">
        <v>79</v>
      </c>
      <c r="B20" s="139">
        <f>'[2]Domestic'!B$18/1000</f>
        <v>3960.537</v>
      </c>
      <c r="C20" s="139">
        <f>'[2]Domestic'!C$18/1000</f>
        <v>3580.854</v>
      </c>
      <c r="D20" s="139">
        <f>'[2]Domestic'!D$18/1000</f>
        <v>5580.584</v>
      </c>
      <c r="E20" s="139">
        <f>'[2]Domestic'!E$18/1000</f>
        <v>6026.641</v>
      </c>
      <c r="F20" s="139">
        <f>'[2]Domestic'!F$18/1000</f>
        <v>6174.016</v>
      </c>
      <c r="G20" s="139">
        <f>'[2]Domestic'!G$18/1000</f>
        <v>6493.814</v>
      </c>
      <c r="H20" s="139">
        <f>'[2]Domestic'!H$18/1000</f>
        <v>6764.52</v>
      </c>
      <c r="I20" s="139">
        <f>'[2]Domestic'!I$18/1000</f>
        <v>4726.636</v>
      </c>
      <c r="J20" s="139">
        <f>'[2]Domestic'!J$18/1000</f>
        <v>4920.626</v>
      </c>
      <c r="K20" s="139">
        <f>'[2]Domestic'!K$18/1000</f>
        <v>4857.87</v>
      </c>
      <c r="L20" s="139">
        <f>'[2]Domestic'!L$18/1000</f>
        <v>5194.823</v>
      </c>
    </row>
    <row r="23" ht="12.75">
      <c r="B23" s="164" t="s">
        <v>130</v>
      </c>
    </row>
    <row r="25" spans="1:12" ht="12.75">
      <c r="A25" s="159"/>
      <c r="B25" s="165">
        <v>1990</v>
      </c>
      <c r="C25" s="165">
        <v>1991</v>
      </c>
      <c r="D25" s="165">
        <v>1992</v>
      </c>
      <c r="E25" s="165">
        <v>1993</v>
      </c>
      <c r="F25" s="165">
        <v>1994</v>
      </c>
      <c r="G25" s="165">
        <v>1995</v>
      </c>
      <c r="H25" s="165">
        <v>1996</v>
      </c>
      <c r="I25" s="165">
        <v>1997</v>
      </c>
      <c r="J25" s="165">
        <v>1998</v>
      </c>
      <c r="K25" s="165">
        <v>1999</v>
      </c>
      <c r="L25" s="165">
        <v>2000</v>
      </c>
    </row>
    <row r="26" spans="1:12" ht="12.75">
      <c r="A26" s="160" t="s">
        <v>5</v>
      </c>
      <c r="B26" s="139">
        <f aca="true" t="shared" si="1" ref="B26:L26">SUM(B27:B41)</f>
        <v>56404.98499999999</v>
      </c>
      <c r="C26" s="139">
        <f t="shared" si="1"/>
        <v>53501.592</v>
      </c>
      <c r="D26" s="139">
        <f t="shared" si="1"/>
        <v>60398.452999999994</v>
      </c>
      <c r="E26" s="139">
        <f t="shared" si="1"/>
        <v>65153.87100000001</v>
      </c>
      <c r="F26" s="139">
        <f t="shared" si="1"/>
        <v>71065.40199999999</v>
      </c>
      <c r="G26" s="139">
        <f t="shared" si="1"/>
        <v>77340.53600000001</v>
      </c>
      <c r="H26" s="139">
        <f t="shared" si="1"/>
        <v>82061.39199999999</v>
      </c>
      <c r="I26" s="139">
        <f t="shared" si="1"/>
        <v>90393.9</v>
      </c>
      <c r="J26" s="139">
        <f t="shared" si="1"/>
        <v>97010.48800000001</v>
      </c>
      <c r="K26" s="139">
        <f t="shared" si="1"/>
        <v>98670.64399999999</v>
      </c>
      <c r="L26" s="139">
        <f t="shared" si="1"/>
        <v>106739.24100000001</v>
      </c>
    </row>
    <row r="27" spans="1:12" ht="12.75">
      <c r="A27" s="160" t="s">
        <v>66</v>
      </c>
      <c r="B27" s="139">
        <f>'[2]IntraEuropean'!B$5/1000</f>
        <v>1653.988</v>
      </c>
      <c r="C27" s="139">
        <f>'[2]IntraEuropean'!C$5/1000</f>
        <v>1681.574</v>
      </c>
      <c r="D27" s="139">
        <f>'[2]IntraEuropean'!D$5/1000</f>
        <v>1840.474</v>
      </c>
      <c r="E27" s="139">
        <f>'[2]IntraEuropean'!E$5/1000</f>
        <v>2234.333</v>
      </c>
      <c r="F27" s="139">
        <f>'[2]IntraEuropean'!F$5/1000</f>
        <v>2627.374</v>
      </c>
      <c r="G27" s="139">
        <f>'[2]IntraEuropean'!G$5/1000</f>
        <v>3183.217</v>
      </c>
      <c r="H27" s="139">
        <f>'[2]IntraEuropean'!H$5/1000</f>
        <v>3312.376</v>
      </c>
      <c r="I27" s="139">
        <f>'[2]IntraEuropean'!I$5/1000</f>
        <v>4524.037</v>
      </c>
      <c r="J27" s="139">
        <f>'[2]IntraEuropean'!J$5/1000</f>
        <v>5676.299</v>
      </c>
      <c r="K27" s="139">
        <f>'[2]IntraEuropean'!K$5/1000</f>
        <v>6513.226</v>
      </c>
      <c r="L27" s="139">
        <f>'[2]IntraEuropean'!L$5/1000</f>
        <v>7225.474</v>
      </c>
    </row>
    <row r="28" spans="1:12" ht="12.75">
      <c r="A28" s="160" t="s">
        <v>67</v>
      </c>
      <c r="B28" s="139">
        <f>2*'[2]IntraEuropean'!B$6/7000</f>
        <v>1649.2428571428572</v>
      </c>
      <c r="C28" s="139">
        <f>2*'[2]IntraEuropean'!C$6/7000</f>
        <v>1567.3151428571427</v>
      </c>
      <c r="D28" s="139">
        <f>2*'[2]IntraEuropean'!D$6/7000</f>
        <v>1706.6485714285714</v>
      </c>
      <c r="E28" s="139">
        <f>2*'[2]IntraEuropean'!E$6/7000</f>
        <v>1891.9822857142858</v>
      </c>
      <c r="F28" s="139">
        <f>2*'[2]IntraEuropean'!F$6/7000</f>
        <v>1991.777142857143</v>
      </c>
      <c r="G28" s="139">
        <f>2*'[2]IntraEuropean'!G$6/7000</f>
        <v>2086.225142857143</v>
      </c>
      <c r="H28" s="139">
        <f>2*'[2]IntraEuropean'!H$6/7000</f>
        <v>2229.7274285714284</v>
      </c>
      <c r="I28" s="139">
        <f>2*'[2]IntraEuropean'!I$6/7000</f>
        <v>2438.842285714286</v>
      </c>
      <c r="J28" s="139">
        <f>2*'[2]IntraEuropean'!J$6/7000</f>
        <v>2506.8994285714284</v>
      </c>
      <c r="K28" s="139">
        <f>2*'[2]IntraEuropean'!K$6/7000</f>
        <v>2498.556</v>
      </c>
      <c r="L28" s="139">
        <f>2*'[2]IntraEuropean'!L$6/7000</f>
        <v>2673.060285714286</v>
      </c>
    </row>
    <row r="29" spans="1:12" ht="12.75">
      <c r="A29" s="160" t="s">
        <v>68</v>
      </c>
      <c r="B29" s="139">
        <f>'[2]IntraEuropean'!B$7/1000</f>
        <v>7807.933</v>
      </c>
      <c r="C29" s="139">
        <f>'[2]IntraEuropean'!C$7/1000</f>
        <v>8064.66</v>
      </c>
      <c r="D29" s="139">
        <f>'[2]IntraEuropean'!D$7/1000</f>
        <v>9231.677</v>
      </c>
      <c r="E29" s="139">
        <f>'[2]IntraEuropean'!E$7/1000</f>
        <v>9947.388</v>
      </c>
      <c r="F29" s="139">
        <f>'[2]IntraEuropean'!F$7/1000</f>
        <v>10801.28</v>
      </c>
      <c r="G29" s="139">
        <f>'[2]IntraEuropean'!G$7/1000</f>
        <v>11974.966</v>
      </c>
      <c r="H29" s="139">
        <f>'[2]IntraEuropean'!H$7/1000</f>
        <v>12618.554</v>
      </c>
      <c r="I29" s="139">
        <f>'[2]IntraEuropean'!I$7/1000</f>
        <v>14029.566</v>
      </c>
      <c r="J29" s="139">
        <f>'[2]IntraEuropean'!J$7/1000</f>
        <v>15610.936</v>
      </c>
      <c r="K29" s="139">
        <f>'[2]IntraEuropean'!K$7/1000</f>
        <v>16732.66</v>
      </c>
      <c r="L29" s="139">
        <f>'[2]IntraEuropean'!L$7/1000</f>
        <v>18064.997</v>
      </c>
    </row>
    <row r="30" spans="1:12" ht="12.75">
      <c r="A30" s="160" t="s">
        <v>10</v>
      </c>
      <c r="B30" s="139">
        <f>'[2]IntraEuropean'!B$8/1000</f>
        <v>2690.957</v>
      </c>
      <c r="C30" s="139">
        <f>'[2]IntraEuropean'!C$8/1000</f>
        <v>2185.567</v>
      </c>
      <c r="D30" s="139">
        <f>'[2]IntraEuropean'!D$8/1000</f>
        <v>2584.793</v>
      </c>
      <c r="E30" s="139">
        <f>'[2]IntraEuropean'!E$8/1000</f>
        <v>2710.464</v>
      </c>
      <c r="F30" s="139">
        <f>'[2]IntraEuropean'!F$8/1000</f>
        <v>3055.558</v>
      </c>
      <c r="G30" s="139">
        <f>'[2]IntraEuropean'!G$8/1000</f>
        <v>3009.843</v>
      </c>
      <c r="H30" s="139">
        <f>'[2]IntraEuropean'!H$8/1000</f>
        <v>3149.341</v>
      </c>
      <c r="I30" s="139">
        <f>'[2]IntraEuropean'!I$8/1000</f>
        <v>3536.525</v>
      </c>
      <c r="J30" s="139">
        <f>'[2]IntraEuropean'!J$8/1000</f>
        <v>3268.607</v>
      </c>
      <c r="K30" s="139">
        <f>'[2]IntraEuropean'!K$8/1000</f>
        <v>3245.769</v>
      </c>
      <c r="L30" s="139">
        <f>'[2]IntraEuropean'!L$8/1000</f>
        <v>3738.782</v>
      </c>
    </row>
    <row r="31" spans="1:12" ht="12.75">
      <c r="A31" s="160" t="s">
        <v>69</v>
      </c>
      <c r="B31" s="139">
        <f>'[2]IntraEuropean'!B$9/1000</f>
        <v>6587.155</v>
      </c>
      <c r="C31" s="139">
        <f>'[2]IntraEuropean'!C$9/1000</f>
        <v>5393.944</v>
      </c>
      <c r="D31" s="139">
        <f>'[2]IntraEuropean'!D$9/1000</f>
        <v>5422.256</v>
      </c>
      <c r="E31" s="139">
        <f>'[2]IntraEuropean'!E$9/1000</f>
        <v>5572.699</v>
      </c>
      <c r="F31" s="139">
        <f>'[2]IntraEuropean'!F$9/1000</f>
        <v>5280.937</v>
      </c>
      <c r="G31" s="139">
        <f>'[2]IntraEuropean'!G$9/1000</f>
        <v>6594.929</v>
      </c>
      <c r="H31" s="139">
        <f>'[2]IntraEuropean'!H$9/1000</f>
        <v>6556.475</v>
      </c>
      <c r="I31" s="139">
        <f>'[2]IntraEuropean'!I$9/1000</f>
        <v>6824.435</v>
      </c>
      <c r="J31" s="139">
        <f>'[2]IntraEuropean'!J$9/1000</f>
        <v>7523.045</v>
      </c>
      <c r="K31" s="139">
        <f>'[2]IntraEuropean'!K$9/1000</f>
        <v>7902.027</v>
      </c>
      <c r="L31" s="139">
        <f>'[2]IntraEuropean'!L$9/1000</f>
        <v>9322.537</v>
      </c>
    </row>
    <row r="32" spans="1:12" ht="12.75">
      <c r="A32" s="160" t="s">
        <v>70</v>
      </c>
      <c r="B32" s="139">
        <f>'[2]IntraEuropean'!B$10/1000</f>
        <v>6080.999</v>
      </c>
      <c r="C32" s="139">
        <f>'[2]IntraEuropean'!C$10/1000</f>
        <v>5458.594</v>
      </c>
      <c r="D32" s="139">
        <f>'[2]IntraEuropean'!D$10/1000</f>
        <v>5826.127</v>
      </c>
      <c r="E32" s="139">
        <f>'[2]IntraEuropean'!E$10/1000</f>
        <v>5725.775</v>
      </c>
      <c r="F32" s="139">
        <f>'[2]IntraEuropean'!F$10/1000</f>
        <v>6332.695</v>
      </c>
      <c r="G32" s="139">
        <f>'[2]IntraEuropean'!G$10/1000</f>
        <v>5876.117</v>
      </c>
      <c r="H32" s="139">
        <f>'[2]IntraEuropean'!H$10/1000</f>
        <v>6513.589</v>
      </c>
      <c r="I32" s="139">
        <f>'[2]IntraEuropean'!I$10/1000</f>
        <v>7871.656</v>
      </c>
      <c r="J32" s="139">
        <f>'[2]IntraEuropean'!J$10/1000</f>
        <v>8033.406</v>
      </c>
      <c r="K32" s="139">
        <f>'[2]IntraEuropean'!K$10/1000</f>
        <v>9381.706</v>
      </c>
      <c r="L32" s="139">
        <f>'[2]IntraEuropean'!L$10/1000</f>
        <v>10362.602</v>
      </c>
    </row>
    <row r="33" spans="1:12" ht="12.75">
      <c r="A33" s="160" t="s">
        <v>71</v>
      </c>
      <c r="B33" s="139">
        <f>'[2]IntraEuropean'!B$11/1000</f>
        <v>1730.861</v>
      </c>
      <c r="C33" s="139">
        <f>'[2]IntraEuropean'!C$11/1000</f>
        <v>1797.325</v>
      </c>
      <c r="D33" s="139">
        <f>'[2]IntraEuropean'!D$11/1000</f>
        <v>1798.505</v>
      </c>
      <c r="E33" s="139">
        <f>'[2]IntraEuropean'!E$11/1000</f>
        <v>1661.05</v>
      </c>
      <c r="F33" s="139">
        <f>'[2]IntraEuropean'!F$11/1000</f>
        <v>1656.821</v>
      </c>
      <c r="G33" s="139">
        <f>'[2]IntraEuropean'!G$11/1000</f>
        <v>1824.811</v>
      </c>
      <c r="H33" s="139">
        <f>'[2]IntraEuropean'!H$11/1000</f>
        <v>1977.77</v>
      </c>
      <c r="I33" s="139">
        <f>'[2]IntraEuropean'!I$11/1000</f>
        <v>2197.432</v>
      </c>
      <c r="J33" s="139">
        <f>'[2]IntraEuropean'!J$11/1000</f>
        <v>2413.845</v>
      </c>
      <c r="K33" s="139">
        <f>'[2]IntraEuropean'!K$11/1000</f>
        <v>2749.788</v>
      </c>
      <c r="L33" s="139">
        <f>'[2]IntraEuropean'!L$11/1000</f>
        <v>2878.785</v>
      </c>
    </row>
    <row r="34" spans="1:12" ht="12.75">
      <c r="A34" s="160" t="s">
        <v>72</v>
      </c>
      <c r="B34" s="139">
        <f>'[2]IntraEuropean'!B$12/1000</f>
        <v>4834.393</v>
      </c>
      <c r="C34" s="139">
        <f>'[2]IntraEuropean'!C$12/1000</f>
        <v>4837.652</v>
      </c>
      <c r="D34" s="139">
        <f>'[2]IntraEuropean'!D$12/1000</f>
        <v>5589.665</v>
      </c>
      <c r="E34" s="139">
        <f>'[2]IntraEuropean'!E$12/1000</f>
        <v>5687.7</v>
      </c>
      <c r="F34" s="139">
        <f>'[2]IntraEuropean'!F$12/1000</f>
        <v>6381.62</v>
      </c>
      <c r="G34" s="139">
        <f>'[2]IntraEuropean'!G$12/1000</f>
        <v>6881.95</v>
      </c>
      <c r="H34" s="139">
        <f>'[2]IntraEuropean'!H$12/1000</f>
        <v>7829.543</v>
      </c>
      <c r="I34" s="139">
        <f>'[2]IntraEuropean'!I$12/1000</f>
        <v>7898.212</v>
      </c>
      <c r="J34" s="139">
        <f>'[2]IntraEuropean'!J$12/1000</f>
        <v>7447.631</v>
      </c>
      <c r="K34" s="139">
        <f>'[2]IntraEuropean'!K$12/1000</f>
        <v>7291.016</v>
      </c>
      <c r="L34" s="139">
        <f>'[2]IntraEuropean'!L$12/1000</f>
        <v>7759.396</v>
      </c>
    </row>
    <row r="35" spans="1:12" ht="12.75">
      <c r="A35" s="160" t="s">
        <v>73</v>
      </c>
      <c r="B35" s="139">
        <f>'[2]IntraEuropean'!B$13/1000</f>
        <v>253.136</v>
      </c>
      <c r="C35" s="139">
        <f>'[2]IntraEuropean'!C$13/1000</f>
        <v>258.169</v>
      </c>
      <c r="D35" s="139">
        <f>'[2]IntraEuropean'!D$13/1000</f>
        <v>286.118</v>
      </c>
      <c r="E35" s="139">
        <f>'[2]IntraEuropean'!E$13/1000</f>
        <v>290.451</v>
      </c>
      <c r="F35" s="139">
        <f>'[2]IntraEuropean'!F$13/1000</f>
        <v>361.15</v>
      </c>
      <c r="G35" s="139">
        <f>'[2]IntraEuropean'!G$13/1000</f>
        <v>380.074</v>
      </c>
      <c r="H35" s="139">
        <f>'[2]IntraEuropean'!H$13/1000</f>
        <v>420.996</v>
      </c>
      <c r="I35" s="139">
        <f>'[2]IntraEuropean'!I$13/1000</f>
        <v>446.551</v>
      </c>
      <c r="J35" s="139">
        <f>'[2]IntraEuropean'!J$13/1000</f>
        <v>453.941</v>
      </c>
      <c r="K35" s="139">
        <f>'[2]IntraEuropean'!K$13/1000</f>
        <v>552.126</v>
      </c>
      <c r="L35" s="139">
        <f>'[2]IntraEuropean'!L$13/1000</f>
        <v>557.327</v>
      </c>
    </row>
    <row r="36" spans="1:12" ht="12.75">
      <c r="A36" s="160" t="s">
        <v>74</v>
      </c>
      <c r="B36" s="139">
        <f>'[2]IntraEuropean'!B$14/1000</f>
        <v>2753.772</v>
      </c>
      <c r="C36" s="139">
        <f>'[2]IntraEuropean'!C$14/1000</f>
        <v>2825.553</v>
      </c>
      <c r="D36" s="139">
        <f>'[2]IntraEuropean'!D$14/1000</f>
        <v>3400.537</v>
      </c>
      <c r="E36" s="139">
        <f>'[2]IntraEuropean'!E$14/1000</f>
        <v>4068.437</v>
      </c>
      <c r="F36" s="139">
        <f>'[2]IntraEuropean'!F$14/1000</f>
        <v>4970.776</v>
      </c>
      <c r="G36" s="139">
        <f>'[2]IntraEuropean'!G$14/1000</f>
        <v>5120.703</v>
      </c>
      <c r="H36" s="139">
        <f>'[2]IntraEuropean'!H$14/1000</f>
        <v>5587.187</v>
      </c>
      <c r="I36" s="139">
        <f>'[2]IntraEuropean'!I$14/1000</f>
        <v>6517.234</v>
      </c>
      <c r="J36" s="139">
        <f>'[2]IntraEuropean'!J$14/1000</f>
        <v>6984.161</v>
      </c>
      <c r="K36" s="139">
        <f>'[2]IntraEuropean'!K$14/1000</f>
        <v>7445.784</v>
      </c>
      <c r="L36" s="139">
        <f>'[2]IntraEuropean'!L$14/1000</f>
        <v>8140.13</v>
      </c>
    </row>
    <row r="37" spans="1:12" ht="12.75">
      <c r="A37" s="160" t="s">
        <v>75</v>
      </c>
      <c r="B37" s="139">
        <f>'[2]IntraEuropean'!B$15/1000</f>
        <v>1712.553</v>
      </c>
      <c r="C37" s="139">
        <f>'[2]IntraEuropean'!C$15/1000</f>
        <v>1773.015</v>
      </c>
      <c r="D37" s="139">
        <f>'[2]IntraEuropean'!D$15/1000</f>
        <v>1976.995</v>
      </c>
      <c r="E37" s="139">
        <f>'[2]IntraEuropean'!E$15/1000</f>
        <v>1977.559</v>
      </c>
      <c r="F37" s="139">
        <f>'[2]IntraEuropean'!F$15/1000</f>
        <v>1976.931</v>
      </c>
      <c r="G37" s="139">
        <f>'[2]IntraEuropean'!G$15/1000</f>
        <v>2116.535</v>
      </c>
      <c r="H37" s="139">
        <f>'[2]IntraEuropean'!H$15/1000</f>
        <v>2111.93</v>
      </c>
      <c r="I37" s="139">
        <f>'[2]IntraEuropean'!I$15/1000</f>
        <v>2184.558</v>
      </c>
      <c r="J37" s="139">
        <f>'[2]IntraEuropean'!J$15/1000</f>
        <v>2442.856</v>
      </c>
      <c r="K37" s="139">
        <f>'[2]IntraEuropean'!K$15/1000</f>
        <v>2347.903</v>
      </c>
      <c r="L37" s="139">
        <f>'[2]IntraEuropean'!L$15/1000</f>
        <v>2433.876</v>
      </c>
    </row>
    <row r="38" spans="1:12" ht="12.75">
      <c r="A38" s="160" t="s">
        <v>76</v>
      </c>
      <c r="B38" s="139">
        <f>'[2]IntraEuropean'!B$16/1000</f>
        <v>2445.803</v>
      </c>
      <c r="C38" s="139">
        <f>'[2]IntraEuropean'!C$16/1000</f>
        <v>2607.528</v>
      </c>
      <c r="D38" s="139">
        <f>'[2]IntraEuropean'!D$16/1000</f>
        <v>2837.759</v>
      </c>
      <c r="E38" s="139">
        <f>'[2]IntraEuropean'!E$16/1000</f>
        <v>2991.902</v>
      </c>
      <c r="F38" s="139">
        <f>'[2]IntraEuropean'!F$16/1000</f>
        <v>2812.168</v>
      </c>
      <c r="G38" s="139">
        <f>'[2]IntraEuropean'!G$16/1000</f>
        <v>2954.191</v>
      </c>
      <c r="H38" s="139">
        <f>'[2]IntraEuropean'!H$16/1000</f>
        <v>3100.133</v>
      </c>
      <c r="I38" s="139">
        <f>'[2]IntraEuropean'!I$16/1000</f>
        <v>3339.174</v>
      </c>
      <c r="J38" s="139">
        <f>'[2]IntraEuropean'!J$16/1000</f>
        <v>3481.075</v>
      </c>
      <c r="K38" s="139">
        <f>'[2]IntraEuropean'!K$16/1000</f>
        <v>3502.86</v>
      </c>
      <c r="L38" s="139">
        <f>'[2]IntraEuropean'!L$16/1000</f>
        <v>3966.798</v>
      </c>
    </row>
    <row r="39" spans="1:12" ht="12.75">
      <c r="A39" s="160" t="s">
        <v>19</v>
      </c>
      <c r="B39" s="139">
        <f>'[2]IntraEuropean'!B$17/1000</f>
        <v>1862.681</v>
      </c>
      <c r="C39" s="139">
        <f>'[2]IntraEuropean'!C$17/1000</f>
        <v>1682.751</v>
      </c>
      <c r="D39" s="139">
        <f>'[2]IntraEuropean'!D$17/1000</f>
        <v>1728.691</v>
      </c>
      <c r="E39" s="139">
        <f>'[2]IntraEuropean'!E$17/1000</f>
        <v>2053.116</v>
      </c>
      <c r="F39" s="139">
        <f>'[2]IntraEuropean'!F$17/1000</f>
        <v>2878.504</v>
      </c>
      <c r="G39" s="139">
        <f>'[2]IntraEuropean'!G$17/1000</f>
        <v>4365.527</v>
      </c>
      <c r="H39" s="139">
        <f>'[2]IntraEuropean'!H$17/1000</f>
        <v>4452.975</v>
      </c>
      <c r="I39" s="139">
        <f>'[2]IntraEuropean'!I$17/1000</f>
        <v>5124.372</v>
      </c>
      <c r="J39" s="139">
        <f>'[2]IntraEuropean'!J$17/1000</f>
        <v>5957.86</v>
      </c>
      <c r="K39" s="139">
        <f>'[2]IntraEuropean'!K$17/1000</f>
        <v>3423.655</v>
      </c>
      <c r="L39" s="139">
        <f>'[2]IntraEuropean'!L$17/1000</f>
        <v>3462.752</v>
      </c>
    </row>
    <row r="40" spans="1:12" ht="12.75">
      <c r="A40" s="160" t="s">
        <v>20</v>
      </c>
      <c r="B40" s="139">
        <f>5*'[2]IntraEuropean'!B$6/7000</f>
        <v>4123.107142857143</v>
      </c>
      <c r="C40" s="139">
        <f>5*'[2]IntraEuropean'!C$6/7000</f>
        <v>3918.2878571428573</v>
      </c>
      <c r="D40" s="139">
        <f>5*'[2]IntraEuropean'!D$6/7000</f>
        <v>4266.621428571429</v>
      </c>
      <c r="E40" s="139">
        <f>5*'[2]IntraEuropean'!E$6/7000</f>
        <v>4729.955714285714</v>
      </c>
      <c r="F40" s="139">
        <f>5*'[2]IntraEuropean'!F$6/7000</f>
        <v>4979.442857142857</v>
      </c>
      <c r="G40" s="139">
        <f>5*'[2]IntraEuropean'!G$6/7000</f>
        <v>5215.562857142857</v>
      </c>
      <c r="H40" s="139">
        <f>5*'[2]IntraEuropean'!H$6/7000</f>
        <v>5574.318571428571</v>
      </c>
      <c r="I40" s="139">
        <f>5*'[2]IntraEuropean'!I$6/7000</f>
        <v>6097.105714285714</v>
      </c>
      <c r="J40" s="139">
        <f>5*'[2]IntraEuropean'!J$6/7000</f>
        <v>6267.248571428571</v>
      </c>
      <c r="K40" s="139">
        <f>5*'[2]IntraEuropean'!K$6/7000</f>
        <v>6246.39</v>
      </c>
      <c r="L40" s="139">
        <f>5*'[2]IntraEuropean'!L$6/7000</f>
        <v>6682.6507142857145</v>
      </c>
    </row>
    <row r="41" spans="1:12" ht="12.75">
      <c r="A41" s="160" t="s">
        <v>79</v>
      </c>
      <c r="B41" s="139">
        <f>'[2]IntraEuropean'!B$18/1000</f>
        <v>10218.404</v>
      </c>
      <c r="C41" s="139">
        <f>'[2]IntraEuropean'!C$18/1000</f>
        <v>9449.657</v>
      </c>
      <c r="D41" s="139">
        <f>'[2]IntraEuropean'!D$18/1000</f>
        <v>11901.586</v>
      </c>
      <c r="E41" s="139">
        <f>'[2]IntraEuropean'!E$18/1000</f>
        <v>13611.059</v>
      </c>
      <c r="F41" s="139">
        <f>'[2]IntraEuropean'!F$18/1000</f>
        <v>14958.368</v>
      </c>
      <c r="G41" s="139">
        <f>'[2]IntraEuropean'!G$18/1000</f>
        <v>15755.885</v>
      </c>
      <c r="H41" s="139">
        <f>'[2]IntraEuropean'!H$18/1000</f>
        <v>16626.477</v>
      </c>
      <c r="I41" s="139">
        <f>'[2]IntraEuropean'!I$18/1000</f>
        <v>17364.2</v>
      </c>
      <c r="J41" s="139">
        <f>'[2]IntraEuropean'!J$18/1000</f>
        <v>18942.678</v>
      </c>
      <c r="K41" s="139">
        <f>'[2]IntraEuropean'!K$18/1000</f>
        <v>18837.178</v>
      </c>
      <c r="L41" s="139">
        <f>'[2]IntraEuropean'!L$18/1000</f>
        <v>19470.074</v>
      </c>
    </row>
    <row r="44" ht="12.75">
      <c r="B44" s="164" t="s">
        <v>131</v>
      </c>
    </row>
    <row r="46" spans="1:12" ht="12.75">
      <c r="A46" s="159"/>
      <c r="B46" s="165">
        <v>1990</v>
      </c>
      <c r="C46" s="165">
        <v>1991</v>
      </c>
      <c r="D46" s="165">
        <v>1992</v>
      </c>
      <c r="E46" s="165">
        <v>1993</v>
      </c>
      <c r="F46" s="165">
        <v>1994</v>
      </c>
      <c r="G46" s="165">
        <v>1995</v>
      </c>
      <c r="H46" s="165">
        <v>1996</v>
      </c>
      <c r="I46" s="165">
        <v>1997</v>
      </c>
      <c r="J46" s="165">
        <v>1998</v>
      </c>
      <c r="K46" s="165">
        <v>1999</v>
      </c>
      <c r="L46" s="165">
        <v>2000</v>
      </c>
    </row>
    <row r="47" spans="1:12" ht="12.75">
      <c r="A47" s="160" t="s">
        <v>5</v>
      </c>
      <c r="B47" s="139">
        <f aca="true" t="shared" si="2" ref="B47:L47">B110-B68</f>
        <v>184495.24800000002</v>
      </c>
      <c r="C47" s="139">
        <f t="shared" si="2"/>
        <v>175422.487</v>
      </c>
      <c r="D47" s="139">
        <f t="shared" si="2"/>
        <v>202751.98799999995</v>
      </c>
      <c r="E47" s="139">
        <f t="shared" si="2"/>
        <v>219106.84299999994</v>
      </c>
      <c r="F47" s="139">
        <f t="shared" si="2"/>
        <v>238232.2080000001</v>
      </c>
      <c r="G47" s="139">
        <f t="shared" si="2"/>
        <v>262987.84500000003</v>
      </c>
      <c r="H47" s="139">
        <f t="shared" si="2"/>
        <v>285031.461</v>
      </c>
      <c r="I47" s="139">
        <f t="shared" si="2"/>
        <v>312047.2150000001</v>
      </c>
      <c r="J47" s="139">
        <f t="shared" si="2"/>
        <v>333727.255</v>
      </c>
      <c r="K47" s="139">
        <f t="shared" si="2"/>
        <v>360952.81</v>
      </c>
      <c r="L47" s="139">
        <f t="shared" si="2"/>
        <v>386125.922</v>
      </c>
    </row>
    <row r="48" spans="1:12" ht="12.75">
      <c r="A48" s="160" t="s">
        <v>66</v>
      </c>
      <c r="B48" s="139">
        <f aca="true" t="shared" si="3" ref="B48:L48">B111-B69</f>
        <v>5918.44</v>
      </c>
      <c r="C48" s="139">
        <f t="shared" si="3"/>
        <v>4541.505999999999</v>
      </c>
      <c r="D48" s="139">
        <f t="shared" si="3"/>
        <v>4362.112</v>
      </c>
      <c r="E48" s="139">
        <f t="shared" si="3"/>
        <v>4250.964</v>
      </c>
      <c r="F48" s="139">
        <f t="shared" si="3"/>
        <v>4869.597</v>
      </c>
      <c r="G48" s="139">
        <f t="shared" si="3"/>
        <v>5436.605</v>
      </c>
      <c r="H48" s="139">
        <f t="shared" si="3"/>
        <v>5698.929</v>
      </c>
      <c r="I48" s="139">
        <f t="shared" si="3"/>
        <v>6749.539999999999</v>
      </c>
      <c r="J48" s="139">
        <f t="shared" si="3"/>
        <v>9662.182</v>
      </c>
      <c r="K48" s="139">
        <f t="shared" si="3"/>
        <v>11179.742000000002</v>
      </c>
      <c r="L48" s="139">
        <f t="shared" si="3"/>
        <v>12153.214999999998</v>
      </c>
    </row>
    <row r="49" spans="1:12" ht="12.75">
      <c r="A49" s="160" t="s">
        <v>67</v>
      </c>
      <c r="B49" s="139">
        <f aca="true" t="shared" si="4" ref="B49:L49">B112-B70</f>
        <v>2133.6799999999994</v>
      </c>
      <c r="C49" s="139">
        <f t="shared" si="4"/>
        <v>1989.5248571428574</v>
      </c>
      <c r="D49" s="139">
        <f t="shared" si="4"/>
        <v>1930.2119999999995</v>
      </c>
      <c r="E49" s="139">
        <f t="shared" si="4"/>
        <v>2070.6085714285714</v>
      </c>
      <c r="F49" s="139">
        <f t="shared" si="4"/>
        <v>2095.2005714285706</v>
      </c>
      <c r="G49" s="139">
        <f t="shared" si="4"/>
        <v>2075.572571428571</v>
      </c>
      <c r="H49" s="139">
        <f t="shared" si="4"/>
        <v>2174.2285714285713</v>
      </c>
      <c r="I49" s="139">
        <f t="shared" si="4"/>
        <v>2195.8345714285706</v>
      </c>
      <c r="J49" s="139">
        <f t="shared" si="4"/>
        <v>2194.656</v>
      </c>
      <c r="K49" s="139">
        <f t="shared" si="4"/>
        <v>2240.7805714285714</v>
      </c>
      <c r="L49" s="139">
        <f t="shared" si="4"/>
        <v>2391.603142857143</v>
      </c>
    </row>
    <row r="50" spans="1:12" ht="12.75">
      <c r="A50" s="160" t="s">
        <v>68</v>
      </c>
      <c r="B50" s="139">
        <f aca="true" t="shared" si="5" ref="B50:L50">B113-B71</f>
        <v>31243.15</v>
      </c>
      <c r="C50" s="139">
        <f t="shared" si="5"/>
        <v>30543.105</v>
      </c>
      <c r="D50" s="139">
        <f t="shared" si="5"/>
        <v>34838.348</v>
      </c>
      <c r="E50" s="139">
        <f t="shared" si="5"/>
        <v>37791.074</v>
      </c>
      <c r="F50" s="139">
        <f t="shared" si="5"/>
        <v>40864.105</v>
      </c>
      <c r="G50" s="139">
        <f t="shared" si="5"/>
        <v>44506.431000000004</v>
      </c>
      <c r="H50" s="139">
        <f t="shared" si="5"/>
        <v>45667.612</v>
      </c>
      <c r="I50" s="139">
        <f t="shared" si="5"/>
        <v>52511.329000000005</v>
      </c>
      <c r="J50" s="139">
        <f t="shared" si="5"/>
        <v>54596.273</v>
      </c>
      <c r="K50" s="139">
        <f t="shared" si="5"/>
        <v>63771.971999999994</v>
      </c>
      <c r="L50" s="139">
        <f t="shared" si="5"/>
        <v>69984.206</v>
      </c>
    </row>
    <row r="51" spans="1:12" ht="12.75">
      <c r="A51" s="160" t="s">
        <v>10</v>
      </c>
      <c r="B51" s="139">
        <f aca="true" t="shared" si="6" ref="B51:L51">B114-B72</f>
        <v>3898.0769999999998</v>
      </c>
      <c r="C51" s="139">
        <f t="shared" si="6"/>
        <v>3045.071</v>
      </c>
      <c r="D51" s="139">
        <f t="shared" si="6"/>
        <v>3678.165</v>
      </c>
      <c r="E51" s="139">
        <f t="shared" si="6"/>
        <v>4253.113</v>
      </c>
      <c r="F51" s="139">
        <f t="shared" si="6"/>
        <v>4397.261</v>
      </c>
      <c r="G51" s="139">
        <f t="shared" si="6"/>
        <v>3885.516</v>
      </c>
      <c r="H51" s="139">
        <f t="shared" si="6"/>
        <v>4277.37</v>
      </c>
      <c r="I51" s="139">
        <f t="shared" si="6"/>
        <v>4489.803999999999</v>
      </c>
      <c r="J51" s="139">
        <f t="shared" si="6"/>
        <v>4186.856000000001</v>
      </c>
      <c r="K51" s="139">
        <f t="shared" si="6"/>
        <v>3987.388999999999</v>
      </c>
      <c r="L51" s="139">
        <f t="shared" si="6"/>
        <v>4049.117</v>
      </c>
    </row>
    <row r="52" spans="1:12" ht="12.75">
      <c r="A52" s="160" t="s">
        <v>69</v>
      </c>
      <c r="B52" s="139">
        <f aca="true" t="shared" si="7" ref="B52:L52">B115-B73</f>
        <v>10752.609000000002</v>
      </c>
      <c r="C52" s="139">
        <f t="shared" si="7"/>
        <v>10172.732</v>
      </c>
      <c r="D52" s="139">
        <f t="shared" si="7"/>
        <v>12351.497</v>
      </c>
      <c r="E52" s="139">
        <f t="shared" si="7"/>
        <v>12319.838</v>
      </c>
      <c r="F52" s="139">
        <f t="shared" si="7"/>
        <v>12321.212000000001</v>
      </c>
      <c r="G52" s="139">
        <f t="shared" si="7"/>
        <v>13278.688000000002</v>
      </c>
      <c r="H52" s="139">
        <f t="shared" si="7"/>
        <v>14304.535999999998</v>
      </c>
      <c r="I52" s="139">
        <f t="shared" si="7"/>
        <v>15269.544999999998</v>
      </c>
      <c r="J52" s="139">
        <f t="shared" si="7"/>
        <v>16383.273</v>
      </c>
      <c r="K52" s="139">
        <f t="shared" si="7"/>
        <v>19890.818</v>
      </c>
      <c r="L52" s="139">
        <f t="shared" si="7"/>
        <v>23345.265</v>
      </c>
    </row>
    <row r="53" spans="1:12" ht="12.75">
      <c r="A53" s="160" t="s">
        <v>70</v>
      </c>
      <c r="B53" s="139">
        <f aca="true" t="shared" si="8" ref="B53:L53">B116-B74</f>
        <v>27541.086000000003</v>
      </c>
      <c r="C53" s="139">
        <f t="shared" si="8"/>
        <v>25634.446999999996</v>
      </c>
      <c r="D53" s="139">
        <f t="shared" si="8"/>
        <v>29882.017</v>
      </c>
      <c r="E53" s="139">
        <f t="shared" si="8"/>
        <v>30659.629000000004</v>
      </c>
      <c r="F53" s="139">
        <f t="shared" si="8"/>
        <v>35817.859</v>
      </c>
      <c r="G53" s="139">
        <f t="shared" si="8"/>
        <v>43223.446</v>
      </c>
      <c r="H53" s="139">
        <f t="shared" si="8"/>
        <v>50449.117</v>
      </c>
      <c r="I53" s="139">
        <f t="shared" si="8"/>
        <v>53540.11200000001</v>
      </c>
      <c r="J53" s="139">
        <f t="shared" si="8"/>
        <v>57870.439999999995</v>
      </c>
      <c r="K53" s="139">
        <f t="shared" si="8"/>
        <v>65217.028000000006</v>
      </c>
      <c r="L53" s="139">
        <f t="shared" si="8"/>
        <v>72119.19799999999</v>
      </c>
    </row>
    <row r="54" spans="1:12" ht="12.75">
      <c r="A54" s="160" t="s">
        <v>71</v>
      </c>
      <c r="B54" s="139">
        <f aca="true" t="shared" si="9" ref="B54:L54">B117-B75</f>
        <v>2389.397</v>
      </c>
      <c r="C54" s="139">
        <f t="shared" si="9"/>
        <v>1927.484</v>
      </c>
      <c r="D54" s="139">
        <f t="shared" si="9"/>
        <v>2151.484</v>
      </c>
      <c r="E54" s="139">
        <f t="shared" si="9"/>
        <v>2046.299</v>
      </c>
      <c r="F54" s="139">
        <f t="shared" si="9"/>
        <v>2565.822</v>
      </c>
      <c r="G54" s="139">
        <f t="shared" si="9"/>
        <v>2764.114</v>
      </c>
      <c r="H54" s="139">
        <f t="shared" si="9"/>
        <v>3080.419</v>
      </c>
      <c r="I54" s="139">
        <f t="shared" si="9"/>
        <v>3635.869</v>
      </c>
      <c r="J54" s="139">
        <f t="shared" si="9"/>
        <v>3984.234</v>
      </c>
      <c r="K54" s="139">
        <f t="shared" si="9"/>
        <v>4779.141</v>
      </c>
      <c r="L54" s="139">
        <f t="shared" si="9"/>
        <v>5929.1939999999995</v>
      </c>
    </row>
    <row r="55" spans="1:12" ht="12.75">
      <c r="A55" s="160" t="s">
        <v>72</v>
      </c>
      <c r="B55" s="139">
        <f aca="true" t="shared" si="10" ref="B55:L55">B118-B76</f>
        <v>12307.532000000001</v>
      </c>
      <c r="C55" s="139">
        <f t="shared" si="10"/>
        <v>11518.479</v>
      </c>
      <c r="D55" s="139">
        <f t="shared" si="10"/>
        <v>15967.251999999999</v>
      </c>
      <c r="E55" s="139">
        <f t="shared" si="10"/>
        <v>17006.145</v>
      </c>
      <c r="F55" s="139">
        <f t="shared" si="10"/>
        <v>18233.621</v>
      </c>
      <c r="G55" s="139">
        <f t="shared" si="10"/>
        <v>19472.062</v>
      </c>
      <c r="H55" s="139">
        <f t="shared" si="10"/>
        <v>20449.099000000002</v>
      </c>
      <c r="I55" s="139">
        <f t="shared" si="10"/>
        <v>21046.912</v>
      </c>
      <c r="J55" s="139">
        <f t="shared" si="10"/>
        <v>21018.612999999998</v>
      </c>
      <c r="K55" s="139">
        <f t="shared" si="10"/>
        <v>22367.009</v>
      </c>
      <c r="L55" s="139">
        <f t="shared" si="10"/>
        <v>25637.677999999996</v>
      </c>
    </row>
    <row r="56" spans="1:12" ht="12.75">
      <c r="A56" s="160" t="s">
        <v>73</v>
      </c>
      <c r="B56" s="139">
        <f aca="true" t="shared" si="11" ref="B56:L56">B119-B77</f>
        <v>0</v>
      </c>
      <c r="C56" s="139">
        <f t="shared" si="11"/>
        <v>0</v>
      </c>
      <c r="D56" s="139">
        <f t="shared" si="11"/>
        <v>0</v>
      </c>
      <c r="E56" s="139">
        <f t="shared" si="11"/>
        <v>0</v>
      </c>
      <c r="F56" s="139">
        <f t="shared" si="11"/>
        <v>0</v>
      </c>
      <c r="G56" s="139">
        <f t="shared" si="11"/>
        <v>0</v>
      </c>
      <c r="H56" s="139">
        <f t="shared" si="11"/>
        <v>0</v>
      </c>
      <c r="I56" s="139">
        <f t="shared" si="11"/>
        <v>0</v>
      </c>
      <c r="J56" s="139">
        <f t="shared" si="11"/>
        <v>0</v>
      </c>
      <c r="K56" s="139">
        <f t="shared" si="11"/>
        <v>186.10699999999997</v>
      </c>
      <c r="L56" s="139">
        <f t="shared" si="11"/>
        <v>0</v>
      </c>
    </row>
    <row r="57" spans="1:12" ht="12.75">
      <c r="A57" s="160" t="s">
        <v>74</v>
      </c>
      <c r="B57" s="139">
        <f aca="true" t="shared" si="12" ref="B57:L57">B120-B78</f>
        <v>23628.102</v>
      </c>
      <c r="C57" s="139">
        <f t="shared" si="12"/>
        <v>24479.373</v>
      </c>
      <c r="D57" s="139">
        <f t="shared" si="12"/>
        <v>28294.817</v>
      </c>
      <c r="E57" s="139">
        <f t="shared" si="12"/>
        <v>32735.320999999996</v>
      </c>
      <c r="F57" s="139">
        <f t="shared" si="12"/>
        <v>35862.59</v>
      </c>
      <c r="G57" s="139">
        <f t="shared" si="12"/>
        <v>39332.082</v>
      </c>
      <c r="H57" s="139">
        <f t="shared" si="12"/>
        <v>43269.956</v>
      </c>
      <c r="I57" s="139">
        <f t="shared" si="12"/>
        <v>48870.565</v>
      </c>
      <c r="J57" s="139">
        <f t="shared" si="12"/>
        <v>50294.667</v>
      </c>
      <c r="K57" s="139">
        <f t="shared" si="12"/>
        <v>50666.763</v>
      </c>
      <c r="L57" s="139">
        <f t="shared" si="12"/>
        <v>52186.489</v>
      </c>
    </row>
    <row r="58" spans="1:12" ht="12.75">
      <c r="A58" s="160" t="s">
        <v>75</v>
      </c>
      <c r="B58" s="139">
        <f aca="true" t="shared" si="13" ref="B58:L58">B121-B79</f>
        <v>1104.636</v>
      </c>
      <c r="C58" s="139">
        <f t="shared" si="13"/>
        <v>1079.9820000000002</v>
      </c>
      <c r="D58" s="139">
        <f t="shared" si="13"/>
        <v>1673.2040000000002</v>
      </c>
      <c r="E58" s="139">
        <f t="shared" si="13"/>
        <v>1769.281</v>
      </c>
      <c r="F58" s="139">
        <f t="shared" si="13"/>
        <v>1855.0290000000002</v>
      </c>
      <c r="G58" s="139">
        <f t="shared" si="13"/>
        <v>2795.7040000000006</v>
      </c>
      <c r="H58" s="139">
        <f t="shared" si="13"/>
        <v>3323.594</v>
      </c>
      <c r="I58" s="139">
        <f t="shared" si="13"/>
        <v>4043.1279999999997</v>
      </c>
      <c r="J58" s="139">
        <f t="shared" si="13"/>
        <v>4839.092000000001</v>
      </c>
      <c r="K58" s="139">
        <f t="shared" si="13"/>
        <v>5539.68</v>
      </c>
      <c r="L58" s="139">
        <f t="shared" si="13"/>
        <v>6365.0830000000005</v>
      </c>
    </row>
    <row r="59" spans="1:12" ht="12.75">
      <c r="A59" s="160" t="s">
        <v>76</v>
      </c>
      <c r="B59" s="139">
        <f aca="true" t="shared" si="14" ref="B59:L59">B122-B80</f>
        <v>3621.5699999999997</v>
      </c>
      <c r="C59" s="139">
        <f t="shared" si="14"/>
        <v>3592.277</v>
      </c>
      <c r="D59" s="139">
        <f t="shared" si="14"/>
        <v>3954.844</v>
      </c>
      <c r="E59" s="139">
        <f t="shared" si="14"/>
        <v>3979.2769999999996</v>
      </c>
      <c r="F59" s="139">
        <f t="shared" si="14"/>
        <v>3803.7299999999996</v>
      </c>
      <c r="G59" s="139">
        <f t="shared" si="14"/>
        <v>3648.868</v>
      </c>
      <c r="H59" s="139">
        <f t="shared" si="14"/>
        <v>3721.955</v>
      </c>
      <c r="I59" s="139">
        <f t="shared" si="14"/>
        <v>4213.915999999999</v>
      </c>
      <c r="J59" s="139">
        <f t="shared" si="14"/>
        <v>4493.335999999999</v>
      </c>
      <c r="K59" s="139">
        <f t="shared" si="14"/>
        <v>4634.593000000001</v>
      </c>
      <c r="L59" s="139">
        <f t="shared" si="14"/>
        <v>5198.604</v>
      </c>
    </row>
    <row r="60" spans="1:12" ht="12.75">
      <c r="A60" s="160" t="s">
        <v>19</v>
      </c>
      <c r="B60" s="139">
        <f aca="true" t="shared" si="15" ref="B60:L60">B123-B81</f>
        <v>2006.7220000000002</v>
      </c>
      <c r="C60" s="139">
        <f t="shared" si="15"/>
        <v>2120.3729999999996</v>
      </c>
      <c r="D60" s="139">
        <f t="shared" si="15"/>
        <v>2026.518</v>
      </c>
      <c r="E60" s="139">
        <f t="shared" si="15"/>
        <v>2658.4199999999996</v>
      </c>
      <c r="F60" s="139">
        <f t="shared" si="15"/>
        <v>2992.9570000000003</v>
      </c>
      <c r="G60" s="139">
        <f t="shared" si="15"/>
        <v>3293.4040000000005</v>
      </c>
      <c r="H60" s="139">
        <f t="shared" si="15"/>
        <v>3295.375</v>
      </c>
      <c r="I60" s="139">
        <f t="shared" si="15"/>
        <v>3404.6899999999996</v>
      </c>
      <c r="J60" s="139">
        <f t="shared" si="15"/>
        <v>3509.353000000001</v>
      </c>
      <c r="K60" s="139">
        <f t="shared" si="15"/>
        <v>3168.8089999999993</v>
      </c>
      <c r="L60" s="139">
        <f t="shared" si="15"/>
        <v>2725.727</v>
      </c>
    </row>
    <row r="61" spans="1:12" ht="12.75">
      <c r="A61" s="160" t="s">
        <v>20</v>
      </c>
      <c r="B61" s="139">
        <f aca="true" t="shared" si="16" ref="B61:L61">B124-B82</f>
        <v>5334.199999999999</v>
      </c>
      <c r="C61" s="139">
        <f t="shared" si="16"/>
        <v>4973.812142857143</v>
      </c>
      <c r="D61" s="139">
        <f t="shared" si="16"/>
        <v>4825.530000000001</v>
      </c>
      <c r="E61" s="139">
        <f t="shared" si="16"/>
        <v>5176.52142857143</v>
      </c>
      <c r="F61" s="139">
        <f t="shared" si="16"/>
        <v>5238.00142857143</v>
      </c>
      <c r="G61" s="139">
        <f t="shared" si="16"/>
        <v>5188.931428571429</v>
      </c>
      <c r="H61" s="139">
        <f t="shared" si="16"/>
        <v>5435.571428571429</v>
      </c>
      <c r="I61" s="139">
        <f t="shared" si="16"/>
        <v>5489.586428571429</v>
      </c>
      <c r="J61" s="139">
        <f t="shared" si="16"/>
        <v>5486.640000000001</v>
      </c>
      <c r="K61" s="139">
        <f t="shared" si="16"/>
        <v>5601.951428571429</v>
      </c>
      <c r="L61" s="139">
        <f t="shared" si="16"/>
        <v>5979.007857142857</v>
      </c>
    </row>
    <row r="62" spans="1:12" ht="12.75">
      <c r="A62" s="160" t="s">
        <v>79</v>
      </c>
      <c r="B62" s="139">
        <f aca="true" t="shared" si="17" ref="B62:L62">B125-B83</f>
        <v>52616.047</v>
      </c>
      <c r="C62" s="139">
        <f t="shared" si="17"/>
        <v>49804.321</v>
      </c>
      <c r="D62" s="139">
        <f t="shared" si="17"/>
        <v>56815.988</v>
      </c>
      <c r="E62" s="139">
        <f t="shared" si="17"/>
        <v>62390.352</v>
      </c>
      <c r="F62" s="139">
        <f t="shared" si="17"/>
        <v>67315.223</v>
      </c>
      <c r="G62" s="139">
        <f t="shared" si="17"/>
        <v>74086.421</v>
      </c>
      <c r="H62" s="139">
        <f t="shared" si="17"/>
        <v>79883.699</v>
      </c>
      <c r="I62" s="139">
        <f t="shared" si="17"/>
        <v>86586.38399999999</v>
      </c>
      <c r="J62" s="139">
        <f t="shared" si="17"/>
        <v>95207.64</v>
      </c>
      <c r="K62" s="139">
        <f t="shared" si="17"/>
        <v>97721.027</v>
      </c>
      <c r="L62" s="139">
        <f t="shared" si="17"/>
        <v>98061.535</v>
      </c>
    </row>
    <row r="65" ht="12.75">
      <c r="B65" s="164" t="s">
        <v>132</v>
      </c>
    </row>
    <row r="67" spans="1:12" ht="12.75">
      <c r="A67" s="159"/>
      <c r="B67" s="165">
        <v>1990</v>
      </c>
      <c r="C67" s="165">
        <v>1991</v>
      </c>
      <c r="D67" s="165">
        <v>1992</v>
      </c>
      <c r="E67" s="165">
        <v>1993</v>
      </c>
      <c r="F67" s="165">
        <v>1994</v>
      </c>
      <c r="G67" s="165">
        <v>1995</v>
      </c>
      <c r="H67" s="165">
        <v>1996</v>
      </c>
      <c r="I67" s="165">
        <v>1997</v>
      </c>
      <c r="J67" s="165">
        <v>1998</v>
      </c>
      <c r="K67" s="165">
        <v>1999</v>
      </c>
      <c r="L67" s="165">
        <v>2000</v>
      </c>
    </row>
    <row r="68" spans="1:12" ht="12.75">
      <c r="A68" s="160" t="s">
        <v>5</v>
      </c>
      <c r="B68" s="139">
        <f aca="true" t="shared" si="18" ref="B68:L68">SUM(B5,B26)</f>
        <v>85244.03899999999</v>
      </c>
      <c r="C68" s="139">
        <f t="shared" si="18"/>
        <v>81835.99299999999</v>
      </c>
      <c r="D68" s="139">
        <f t="shared" si="18"/>
        <v>91570.18</v>
      </c>
      <c r="E68" s="139">
        <f t="shared" si="18"/>
        <v>97209.87800000001</v>
      </c>
      <c r="F68" s="139">
        <f t="shared" si="18"/>
        <v>104143.27399999998</v>
      </c>
      <c r="G68" s="139">
        <f t="shared" si="18"/>
        <v>105768.876</v>
      </c>
      <c r="H68" s="139">
        <f t="shared" si="18"/>
        <v>112877.249</v>
      </c>
      <c r="I68" s="139">
        <f t="shared" si="18"/>
        <v>128820.39199999999</v>
      </c>
      <c r="J68" s="139">
        <f t="shared" si="18"/>
        <v>139682.87900000002</v>
      </c>
      <c r="K68" s="139">
        <f t="shared" si="18"/>
        <v>145069.65899999999</v>
      </c>
      <c r="L68" s="139">
        <f t="shared" si="18"/>
        <v>155962.279</v>
      </c>
    </row>
    <row r="69" spans="1:12" ht="12.75">
      <c r="A69" s="160" t="s">
        <v>66</v>
      </c>
      <c r="B69" s="139">
        <f aca="true" t="shared" si="19" ref="B69:L69">SUM(B6,B27)</f>
        <v>1653.988</v>
      </c>
      <c r="C69" s="139">
        <f t="shared" si="19"/>
        <v>1681.574</v>
      </c>
      <c r="D69" s="139">
        <f t="shared" si="19"/>
        <v>1840.474</v>
      </c>
      <c r="E69" s="139">
        <f t="shared" si="19"/>
        <v>2234.333</v>
      </c>
      <c r="F69" s="139">
        <f t="shared" si="19"/>
        <v>2627.374</v>
      </c>
      <c r="G69" s="139">
        <f t="shared" si="19"/>
        <v>3183.217</v>
      </c>
      <c r="H69" s="139">
        <f t="shared" si="19"/>
        <v>3312.376</v>
      </c>
      <c r="I69" s="139">
        <f t="shared" si="19"/>
        <v>4524.037</v>
      </c>
      <c r="J69" s="139">
        <f t="shared" si="19"/>
        <v>5676.299</v>
      </c>
      <c r="K69" s="139">
        <f t="shared" si="19"/>
        <v>6513.226</v>
      </c>
      <c r="L69" s="139">
        <f t="shared" si="19"/>
        <v>7225.474</v>
      </c>
    </row>
    <row r="70" spans="1:12" ht="12.75">
      <c r="A70" s="160" t="s">
        <v>67</v>
      </c>
      <c r="B70" s="139">
        <f aca="true" t="shared" si="20" ref="B70:L70">SUM(B7,B28)</f>
        <v>2585.1800000000003</v>
      </c>
      <c r="C70" s="139">
        <f t="shared" si="20"/>
        <v>2415.1554285714283</v>
      </c>
      <c r="D70" s="139">
        <f t="shared" si="20"/>
        <v>2555.0805714285716</v>
      </c>
      <c r="E70" s="139">
        <f t="shared" si="20"/>
        <v>3111.8325714285716</v>
      </c>
      <c r="F70" s="139">
        <f t="shared" si="20"/>
        <v>3180.700285714286</v>
      </c>
      <c r="G70" s="139">
        <f t="shared" si="20"/>
        <v>3211.8648571428575</v>
      </c>
      <c r="H70" s="139">
        <f t="shared" si="20"/>
        <v>3393.5154285714284</v>
      </c>
      <c r="I70" s="139">
        <f t="shared" si="20"/>
        <v>3612.9071428571433</v>
      </c>
      <c r="J70" s="139">
        <f t="shared" si="20"/>
        <v>3754.2562857142857</v>
      </c>
      <c r="K70" s="139">
        <f t="shared" si="20"/>
        <v>3804.9348571428573</v>
      </c>
      <c r="L70" s="139">
        <f t="shared" si="20"/>
        <v>4079.0502857142856</v>
      </c>
    </row>
    <row r="71" spans="1:12" ht="12.75">
      <c r="A71" s="160" t="s">
        <v>68</v>
      </c>
      <c r="B71" s="139">
        <f aca="true" t="shared" si="21" ref="B71:L71">SUM(B8,B29)</f>
        <v>10659.81</v>
      </c>
      <c r="C71" s="139">
        <f t="shared" si="21"/>
        <v>12141.571</v>
      </c>
      <c r="D71" s="139">
        <f t="shared" si="21"/>
        <v>13822.171999999999</v>
      </c>
      <c r="E71" s="139">
        <f t="shared" si="21"/>
        <v>14866.786</v>
      </c>
      <c r="F71" s="139">
        <f t="shared" si="21"/>
        <v>15672.136</v>
      </c>
      <c r="G71" s="139">
        <f t="shared" si="21"/>
        <v>17095.744</v>
      </c>
      <c r="H71" s="139">
        <f t="shared" si="21"/>
        <v>17592.589</v>
      </c>
      <c r="I71" s="139">
        <f t="shared" si="21"/>
        <v>18841.684</v>
      </c>
      <c r="J71" s="139">
        <f t="shared" si="21"/>
        <v>20841.583</v>
      </c>
      <c r="K71" s="139">
        <f t="shared" si="21"/>
        <v>22381.761</v>
      </c>
      <c r="L71" s="139">
        <f t="shared" si="21"/>
        <v>24185.345999999998</v>
      </c>
    </row>
    <row r="72" spans="1:12" ht="12.75">
      <c r="A72" s="160" t="s">
        <v>10</v>
      </c>
      <c r="B72" s="139">
        <f aca="true" t="shared" si="22" ref="B72:L72">SUM(B9,B30)</f>
        <v>3866.336</v>
      </c>
      <c r="C72" s="139">
        <f t="shared" si="22"/>
        <v>3148.2889999999998</v>
      </c>
      <c r="D72" s="139">
        <f t="shared" si="22"/>
        <v>3584.214</v>
      </c>
      <c r="E72" s="139">
        <f t="shared" si="22"/>
        <v>3645.602</v>
      </c>
      <c r="F72" s="139">
        <f t="shared" si="22"/>
        <v>4031.2780000000002</v>
      </c>
      <c r="G72" s="139">
        <f t="shared" si="22"/>
        <v>4059.493</v>
      </c>
      <c r="H72" s="139">
        <f t="shared" si="22"/>
        <v>4255.798</v>
      </c>
      <c r="I72" s="139">
        <f t="shared" si="22"/>
        <v>4770.844</v>
      </c>
      <c r="J72" s="139">
        <f t="shared" si="22"/>
        <v>4374.299</v>
      </c>
      <c r="K72" s="139">
        <f t="shared" si="22"/>
        <v>4318.062</v>
      </c>
      <c r="L72" s="139">
        <f t="shared" si="22"/>
        <v>4810.391</v>
      </c>
    </row>
    <row r="73" spans="1:12" ht="12.75">
      <c r="A73" s="160" t="s">
        <v>69</v>
      </c>
      <c r="B73" s="139">
        <f aca="true" t="shared" si="23" ref="B73:L73">SUM(B10,B31)</f>
        <v>11359.203</v>
      </c>
      <c r="C73" s="139">
        <f t="shared" si="23"/>
        <v>10300.054</v>
      </c>
      <c r="D73" s="139">
        <f t="shared" si="23"/>
        <v>11505.783</v>
      </c>
      <c r="E73" s="139">
        <f t="shared" si="23"/>
        <v>10945.575</v>
      </c>
      <c r="F73" s="139">
        <f t="shared" si="23"/>
        <v>10209.365</v>
      </c>
      <c r="G73" s="139">
        <f t="shared" si="23"/>
        <v>10532.801</v>
      </c>
      <c r="H73" s="139">
        <f t="shared" si="23"/>
        <v>11615.51</v>
      </c>
      <c r="I73" s="139">
        <f t="shared" si="23"/>
        <v>12364.345000000001</v>
      </c>
      <c r="J73" s="139">
        <f t="shared" si="23"/>
        <v>16137.422</v>
      </c>
      <c r="K73" s="139">
        <f t="shared" si="23"/>
        <v>19365.148</v>
      </c>
      <c r="L73" s="139">
        <f t="shared" si="23"/>
        <v>22118.212</v>
      </c>
    </row>
    <row r="74" spans="1:12" ht="12.75">
      <c r="A74" s="160" t="s">
        <v>70</v>
      </c>
      <c r="B74" s="139">
        <f aca="true" t="shared" si="24" ref="B74:L74">SUM(B11,B32)</f>
        <v>15212.812</v>
      </c>
      <c r="C74" s="139">
        <f t="shared" si="24"/>
        <v>13844.95</v>
      </c>
      <c r="D74" s="139">
        <f t="shared" si="24"/>
        <v>13114.61</v>
      </c>
      <c r="E74" s="139">
        <f t="shared" si="24"/>
        <v>12874.978</v>
      </c>
      <c r="F74" s="139">
        <f t="shared" si="24"/>
        <v>14301.537</v>
      </c>
      <c r="G74" s="139">
        <f t="shared" si="24"/>
        <v>6291.935</v>
      </c>
      <c r="H74" s="139">
        <f t="shared" si="24"/>
        <v>7023.2119999999995</v>
      </c>
      <c r="I74" s="139">
        <f t="shared" si="24"/>
        <v>16448.442</v>
      </c>
      <c r="J74" s="139">
        <f t="shared" si="24"/>
        <v>16676.059</v>
      </c>
      <c r="K74" s="139">
        <f t="shared" si="24"/>
        <v>18605.503</v>
      </c>
      <c r="L74" s="139">
        <f t="shared" si="24"/>
        <v>19682.092</v>
      </c>
    </row>
    <row r="75" spans="1:12" ht="12.75">
      <c r="A75" s="160" t="s">
        <v>71</v>
      </c>
      <c r="B75" s="139">
        <f aca="true" t="shared" si="25" ref="B75:L75">SUM(B12,B33)</f>
        <v>1801.0910000000001</v>
      </c>
      <c r="C75" s="139">
        <f t="shared" si="25"/>
        <v>1858.7060000000001</v>
      </c>
      <c r="D75" s="139">
        <f t="shared" si="25"/>
        <v>1859.1950000000002</v>
      </c>
      <c r="E75" s="139">
        <f t="shared" si="25"/>
        <v>1712.9479999999999</v>
      </c>
      <c r="F75" s="139">
        <f t="shared" si="25"/>
        <v>1714.723</v>
      </c>
      <c r="G75" s="139">
        <f t="shared" si="25"/>
        <v>1896.676</v>
      </c>
      <c r="H75" s="139">
        <f t="shared" si="25"/>
        <v>2045.758</v>
      </c>
      <c r="I75" s="139">
        <f t="shared" si="25"/>
        <v>2256.595</v>
      </c>
      <c r="J75" s="139">
        <f t="shared" si="25"/>
        <v>2482.149</v>
      </c>
      <c r="K75" s="139">
        <f t="shared" si="25"/>
        <v>2822.747</v>
      </c>
      <c r="L75" s="139">
        <f t="shared" si="25"/>
        <v>2959.4829999999997</v>
      </c>
    </row>
    <row r="76" spans="1:12" ht="12.75">
      <c r="A76" s="160" t="s">
        <v>72</v>
      </c>
      <c r="B76" s="139">
        <f aca="true" t="shared" si="26" ref="B76:L76">SUM(B13,B34)</f>
        <v>6818.098</v>
      </c>
      <c r="C76" s="139">
        <f t="shared" si="26"/>
        <v>6668.804</v>
      </c>
      <c r="D76" s="139">
        <f t="shared" si="26"/>
        <v>7618.777</v>
      </c>
      <c r="E76" s="139">
        <f t="shared" si="26"/>
        <v>7514.219</v>
      </c>
      <c r="F76" s="139">
        <f t="shared" si="26"/>
        <v>8728.673999999999</v>
      </c>
      <c r="G76" s="139">
        <f t="shared" si="26"/>
        <v>12480.690999999999</v>
      </c>
      <c r="H76" s="139">
        <f t="shared" si="26"/>
        <v>14107.082999999999</v>
      </c>
      <c r="I76" s="139">
        <f t="shared" si="26"/>
        <v>14945.41</v>
      </c>
      <c r="J76" s="139">
        <f t="shared" si="26"/>
        <v>14542.383000000002</v>
      </c>
      <c r="K76" s="139">
        <f t="shared" si="26"/>
        <v>14322.989</v>
      </c>
      <c r="L76" s="139">
        <f t="shared" si="26"/>
        <v>14980.505000000001</v>
      </c>
    </row>
    <row r="77" spans="1:12" ht="12.75">
      <c r="A77" s="160" t="s">
        <v>73</v>
      </c>
      <c r="B77" s="139">
        <f aca="true" t="shared" si="27" ref="B77:L77">SUM(B14,B35)</f>
        <v>253.136</v>
      </c>
      <c r="C77" s="139">
        <f t="shared" si="27"/>
        <v>258.169</v>
      </c>
      <c r="D77" s="139">
        <f t="shared" si="27"/>
        <v>286.118</v>
      </c>
      <c r="E77" s="139">
        <f t="shared" si="27"/>
        <v>290.451</v>
      </c>
      <c r="F77" s="139">
        <f t="shared" si="27"/>
        <v>361.15</v>
      </c>
      <c r="G77" s="139">
        <f t="shared" si="27"/>
        <v>380.074</v>
      </c>
      <c r="H77" s="139">
        <f t="shared" si="27"/>
        <v>420.996</v>
      </c>
      <c r="I77" s="139">
        <f t="shared" si="27"/>
        <v>446.551</v>
      </c>
      <c r="J77" s="139">
        <f t="shared" si="27"/>
        <v>453.941</v>
      </c>
      <c r="K77" s="139">
        <f t="shared" si="27"/>
        <v>552.126</v>
      </c>
      <c r="L77" s="139">
        <f t="shared" si="27"/>
        <v>557.327</v>
      </c>
    </row>
    <row r="78" spans="1:12" ht="12.75">
      <c r="A78" s="160" t="s">
        <v>74</v>
      </c>
      <c r="B78" s="139">
        <f aca="true" t="shared" si="28" ref="B78:L78">SUM(B15,B36)</f>
        <v>2761.52</v>
      </c>
      <c r="C78" s="139">
        <f t="shared" si="28"/>
        <v>2827.643</v>
      </c>
      <c r="D78" s="139">
        <f t="shared" si="28"/>
        <v>3400.537</v>
      </c>
      <c r="E78" s="139">
        <f t="shared" si="28"/>
        <v>4071.313</v>
      </c>
      <c r="F78" s="139">
        <f t="shared" si="28"/>
        <v>4975.018</v>
      </c>
      <c r="G78" s="139">
        <f t="shared" si="28"/>
        <v>5125.526000000001</v>
      </c>
      <c r="H78" s="139">
        <f t="shared" si="28"/>
        <v>5587.187</v>
      </c>
      <c r="I78" s="139">
        <f t="shared" si="28"/>
        <v>6517.234</v>
      </c>
      <c r="J78" s="139">
        <f t="shared" si="28"/>
        <v>6984.161</v>
      </c>
      <c r="K78" s="139">
        <f t="shared" si="28"/>
        <v>7445.784</v>
      </c>
      <c r="L78" s="139">
        <f t="shared" si="28"/>
        <v>8140.13</v>
      </c>
    </row>
    <row r="79" spans="1:12" ht="12.75">
      <c r="A79" s="160" t="s">
        <v>75</v>
      </c>
      <c r="B79" s="139">
        <f aca="true" t="shared" si="29" ref="B79:L79">SUM(B16,B37)</f>
        <v>1714.275</v>
      </c>
      <c r="C79" s="139">
        <f t="shared" si="29"/>
        <v>1773.077</v>
      </c>
      <c r="D79" s="139">
        <f t="shared" si="29"/>
        <v>1977.089</v>
      </c>
      <c r="E79" s="139">
        <f t="shared" si="29"/>
        <v>1977.634</v>
      </c>
      <c r="F79" s="139">
        <f t="shared" si="29"/>
        <v>1977.992</v>
      </c>
      <c r="G79" s="139">
        <f t="shared" si="29"/>
        <v>2117.6369999999997</v>
      </c>
      <c r="H79" s="139">
        <f t="shared" si="29"/>
        <v>2114.719</v>
      </c>
      <c r="I79" s="139">
        <f t="shared" si="29"/>
        <v>2186.473</v>
      </c>
      <c r="J79" s="139">
        <f t="shared" si="29"/>
        <v>2444.445</v>
      </c>
      <c r="K79" s="139">
        <f t="shared" si="29"/>
        <v>2351.154</v>
      </c>
      <c r="L79" s="139">
        <f t="shared" si="29"/>
        <v>2433.876</v>
      </c>
    </row>
    <row r="80" spans="1:12" ht="12.75">
      <c r="A80" s="160" t="s">
        <v>76</v>
      </c>
      <c r="B80" s="139">
        <f aca="true" t="shared" si="30" ref="B80:L80">SUM(B17,B38)</f>
        <v>3214.076</v>
      </c>
      <c r="C80" s="139">
        <f t="shared" si="30"/>
        <v>3432.5339999999997</v>
      </c>
      <c r="D80" s="139">
        <f t="shared" si="30"/>
        <v>3716.518</v>
      </c>
      <c r="E80" s="139">
        <f t="shared" si="30"/>
        <v>3888.784</v>
      </c>
      <c r="F80" s="139">
        <f t="shared" si="30"/>
        <v>3781.9970000000003</v>
      </c>
      <c r="G80" s="139">
        <f t="shared" si="30"/>
        <v>4067.14</v>
      </c>
      <c r="H80" s="139">
        <f t="shared" si="30"/>
        <v>4255.859</v>
      </c>
      <c r="I80" s="139">
        <f t="shared" si="30"/>
        <v>4558.68</v>
      </c>
      <c r="J80" s="139">
        <f t="shared" si="30"/>
        <v>4862.609</v>
      </c>
      <c r="K80" s="139">
        <f t="shared" si="30"/>
        <v>4745.168</v>
      </c>
      <c r="L80" s="139">
        <f t="shared" si="30"/>
        <v>5186.415</v>
      </c>
    </row>
    <row r="81" spans="1:12" ht="12.75">
      <c r="A81" s="160" t="s">
        <v>19</v>
      </c>
      <c r="B81" s="139">
        <f aca="true" t="shared" si="31" ref="B81:L81">SUM(B18,B39)</f>
        <v>2702.623</v>
      </c>
      <c r="C81" s="139">
        <f t="shared" si="31"/>
        <v>2417.067</v>
      </c>
      <c r="D81" s="139">
        <f t="shared" si="31"/>
        <v>2419.741</v>
      </c>
      <c r="E81" s="139">
        <f t="shared" si="31"/>
        <v>2658.141</v>
      </c>
      <c r="F81" s="139">
        <f t="shared" si="31"/>
        <v>3497.1949999999997</v>
      </c>
      <c r="G81" s="139">
        <f t="shared" si="31"/>
        <v>5046.716</v>
      </c>
      <c r="H81" s="139">
        <f t="shared" si="31"/>
        <v>5277.861000000001</v>
      </c>
      <c r="I81" s="139">
        <f t="shared" si="31"/>
        <v>6224.086</v>
      </c>
      <c r="J81" s="139">
        <f t="shared" si="31"/>
        <v>7204.3279999999995</v>
      </c>
      <c r="K81" s="139">
        <f t="shared" si="31"/>
        <v>4633.671</v>
      </c>
      <c r="L81" s="139">
        <f t="shared" si="31"/>
        <v>4741.455</v>
      </c>
    </row>
    <row r="82" spans="1:12" ht="12.75">
      <c r="A82" s="160" t="s">
        <v>20</v>
      </c>
      <c r="B82" s="139">
        <f aca="true" t="shared" si="32" ref="B82:L82">SUM(B19,B40)</f>
        <v>6462.950000000001</v>
      </c>
      <c r="C82" s="139">
        <f t="shared" si="32"/>
        <v>6037.888571428572</v>
      </c>
      <c r="D82" s="139">
        <f t="shared" si="32"/>
        <v>6387.701428571429</v>
      </c>
      <c r="E82" s="139">
        <f t="shared" si="32"/>
        <v>7779.581428571428</v>
      </c>
      <c r="F82" s="139">
        <f t="shared" si="32"/>
        <v>7951.750714285714</v>
      </c>
      <c r="G82" s="139">
        <f t="shared" si="32"/>
        <v>8029.6621428571425</v>
      </c>
      <c r="H82" s="139">
        <f t="shared" si="32"/>
        <v>8483.788571428571</v>
      </c>
      <c r="I82" s="139">
        <f t="shared" si="32"/>
        <v>9032.267857142857</v>
      </c>
      <c r="J82" s="139">
        <f t="shared" si="32"/>
        <v>9385.640714285713</v>
      </c>
      <c r="K82" s="139">
        <f t="shared" si="32"/>
        <v>9512.337142857143</v>
      </c>
      <c r="L82" s="139">
        <f t="shared" si="32"/>
        <v>10197.625714285714</v>
      </c>
    </row>
    <row r="83" spans="1:12" ht="12.75">
      <c r="A83" s="160" t="s">
        <v>79</v>
      </c>
      <c r="B83" s="139">
        <f aca="true" t="shared" si="33" ref="B83:L83">SUM(B20,B41)</f>
        <v>14178.941</v>
      </c>
      <c r="C83" s="139">
        <f t="shared" si="33"/>
        <v>13030.510999999999</v>
      </c>
      <c r="D83" s="139">
        <f t="shared" si="33"/>
        <v>17482.17</v>
      </c>
      <c r="E83" s="139">
        <f t="shared" si="33"/>
        <v>19637.699999999997</v>
      </c>
      <c r="F83" s="139">
        <f t="shared" si="33"/>
        <v>21132.384</v>
      </c>
      <c r="G83" s="139">
        <f t="shared" si="33"/>
        <v>22249.699</v>
      </c>
      <c r="H83" s="139">
        <f t="shared" si="33"/>
        <v>23390.997</v>
      </c>
      <c r="I83" s="139">
        <f t="shared" si="33"/>
        <v>22090.836000000003</v>
      </c>
      <c r="J83" s="139">
        <f t="shared" si="33"/>
        <v>23863.304</v>
      </c>
      <c r="K83" s="139">
        <f t="shared" si="33"/>
        <v>23695.048</v>
      </c>
      <c r="L83" s="139">
        <f t="shared" si="33"/>
        <v>24664.897</v>
      </c>
    </row>
    <row r="84" spans="1:12" ht="12.75">
      <c r="A84" s="299" t="s">
        <v>112</v>
      </c>
      <c r="B84" s="140"/>
      <c r="C84" s="140">
        <v>826.7139999999999</v>
      </c>
      <c r="D84" s="140">
        <v>866.2840000000001</v>
      </c>
      <c r="E84" s="140">
        <v>846.4209999999999</v>
      </c>
      <c r="F84" s="140">
        <v>1026.745</v>
      </c>
      <c r="G84" s="140">
        <v>1129.452</v>
      </c>
      <c r="H84" s="140">
        <v>1282.683</v>
      </c>
      <c r="I84" s="140">
        <v>1370.225</v>
      </c>
      <c r="J84" s="140">
        <v>1572.146</v>
      </c>
      <c r="K84" s="140">
        <v>1815.5639999999999</v>
      </c>
      <c r="L84" s="140">
        <v>1952.306</v>
      </c>
    </row>
    <row r="85" spans="1:12" ht="12.75">
      <c r="A85" s="299" t="s">
        <v>113</v>
      </c>
      <c r="B85" s="140"/>
      <c r="C85" s="140">
        <v>2700</v>
      </c>
      <c r="D85" s="140">
        <v>2900</v>
      </c>
      <c r="E85" s="140">
        <v>3200</v>
      </c>
      <c r="F85" s="140">
        <v>3400</v>
      </c>
      <c r="G85" s="140">
        <v>3600</v>
      </c>
      <c r="H85" s="140">
        <v>3900</v>
      </c>
      <c r="I85" s="140">
        <v>4030</v>
      </c>
      <c r="J85" s="140">
        <v>4240</v>
      </c>
      <c r="K85" s="140">
        <v>4370</v>
      </c>
      <c r="L85" s="140">
        <v>4420</v>
      </c>
    </row>
    <row r="86" ht="12.75">
      <c r="B86" s="164" t="s">
        <v>133</v>
      </c>
    </row>
    <row r="88" spans="1:12" ht="12.75">
      <c r="A88" s="159"/>
      <c r="B88" s="165">
        <v>1990</v>
      </c>
      <c r="C88" s="165">
        <v>1991</v>
      </c>
      <c r="D88" s="165">
        <v>1992</v>
      </c>
      <c r="E88" s="165">
        <v>1993</v>
      </c>
      <c r="F88" s="165">
        <v>1994</v>
      </c>
      <c r="G88" s="165">
        <v>1995</v>
      </c>
      <c r="H88" s="165">
        <v>1996</v>
      </c>
      <c r="I88" s="165">
        <v>1997</v>
      </c>
      <c r="J88" s="165">
        <v>1998</v>
      </c>
      <c r="K88" s="165">
        <v>1999</v>
      </c>
      <c r="L88" s="165">
        <v>2000</v>
      </c>
    </row>
    <row r="89" spans="1:12" ht="12.75">
      <c r="A89" s="160" t="s">
        <v>5</v>
      </c>
      <c r="B89" s="139">
        <f aca="true" t="shared" si="34" ref="B89:L89">SUM(B26,B47)</f>
        <v>240900.233</v>
      </c>
      <c r="C89" s="139">
        <f t="shared" si="34"/>
        <v>228924.079</v>
      </c>
      <c r="D89" s="139">
        <f t="shared" si="34"/>
        <v>263150.44099999993</v>
      </c>
      <c r="E89" s="139">
        <f t="shared" si="34"/>
        <v>284260.7139999999</v>
      </c>
      <c r="F89" s="139">
        <f t="shared" si="34"/>
        <v>309297.6100000001</v>
      </c>
      <c r="G89" s="139">
        <f t="shared" si="34"/>
        <v>340328.38100000005</v>
      </c>
      <c r="H89" s="139">
        <f t="shared" si="34"/>
        <v>367092.853</v>
      </c>
      <c r="I89" s="139">
        <f t="shared" si="34"/>
        <v>402441.1150000001</v>
      </c>
      <c r="J89" s="139">
        <f t="shared" si="34"/>
        <v>430737.743</v>
      </c>
      <c r="K89" s="139">
        <f t="shared" si="34"/>
        <v>459623.45399999997</v>
      </c>
      <c r="L89" s="139">
        <f t="shared" si="34"/>
        <v>492865.16300000006</v>
      </c>
    </row>
    <row r="90" spans="1:12" ht="12.75">
      <c r="A90" s="160" t="s">
        <v>66</v>
      </c>
      <c r="B90" s="139">
        <f aca="true" t="shared" si="35" ref="B90:L90">SUM(B27,B48)</f>
        <v>7572.428</v>
      </c>
      <c r="C90" s="139">
        <f t="shared" si="35"/>
        <v>6223.08</v>
      </c>
      <c r="D90" s="139">
        <f t="shared" si="35"/>
        <v>6202.586</v>
      </c>
      <c r="E90" s="139">
        <f t="shared" si="35"/>
        <v>6485.2970000000005</v>
      </c>
      <c r="F90" s="139">
        <f t="shared" si="35"/>
        <v>7496.971</v>
      </c>
      <c r="G90" s="139">
        <f t="shared" si="35"/>
        <v>8619.822</v>
      </c>
      <c r="H90" s="139">
        <f t="shared" si="35"/>
        <v>9011.305</v>
      </c>
      <c r="I90" s="139">
        <f t="shared" si="35"/>
        <v>11273.577</v>
      </c>
      <c r="J90" s="139">
        <f t="shared" si="35"/>
        <v>15338.481</v>
      </c>
      <c r="K90" s="139">
        <f t="shared" si="35"/>
        <v>17692.968</v>
      </c>
      <c r="L90" s="139">
        <f t="shared" si="35"/>
        <v>19378.689</v>
      </c>
    </row>
    <row r="91" spans="1:12" ht="12.75">
      <c r="A91" s="160" t="s">
        <v>67</v>
      </c>
      <c r="B91" s="139">
        <f aca="true" t="shared" si="36" ref="B91:L91">SUM(B28,B49)</f>
        <v>3782.9228571428566</v>
      </c>
      <c r="C91" s="139">
        <f t="shared" si="36"/>
        <v>3556.84</v>
      </c>
      <c r="D91" s="139">
        <f t="shared" si="36"/>
        <v>3636.860571428571</v>
      </c>
      <c r="E91" s="139">
        <f t="shared" si="36"/>
        <v>3962.590857142857</v>
      </c>
      <c r="F91" s="139">
        <f t="shared" si="36"/>
        <v>4086.977714285714</v>
      </c>
      <c r="G91" s="139">
        <f t="shared" si="36"/>
        <v>4161.797714285714</v>
      </c>
      <c r="H91" s="139">
        <f t="shared" si="36"/>
        <v>4403.956</v>
      </c>
      <c r="I91" s="139">
        <f t="shared" si="36"/>
        <v>4634.6768571428565</v>
      </c>
      <c r="J91" s="139">
        <f t="shared" si="36"/>
        <v>4701.555428571428</v>
      </c>
      <c r="K91" s="139">
        <f t="shared" si="36"/>
        <v>4739.336571428572</v>
      </c>
      <c r="L91" s="139">
        <f t="shared" si="36"/>
        <v>5064.663428571429</v>
      </c>
    </row>
    <row r="92" spans="1:12" ht="12.75">
      <c r="A92" s="160" t="s">
        <v>68</v>
      </c>
      <c r="B92" s="139">
        <f aca="true" t="shared" si="37" ref="B92:L92">SUM(B29,B50)</f>
        <v>39051.083</v>
      </c>
      <c r="C92" s="139">
        <f t="shared" si="37"/>
        <v>38607.765</v>
      </c>
      <c r="D92" s="139">
        <f t="shared" si="37"/>
        <v>44070.024999999994</v>
      </c>
      <c r="E92" s="139">
        <f t="shared" si="37"/>
        <v>47738.462</v>
      </c>
      <c r="F92" s="139">
        <f t="shared" si="37"/>
        <v>51665.385</v>
      </c>
      <c r="G92" s="139">
        <f t="shared" si="37"/>
        <v>56481.397000000004</v>
      </c>
      <c r="H92" s="139">
        <f t="shared" si="37"/>
        <v>58286.166</v>
      </c>
      <c r="I92" s="139">
        <f t="shared" si="37"/>
        <v>66540.895</v>
      </c>
      <c r="J92" s="139">
        <f t="shared" si="37"/>
        <v>70207.209</v>
      </c>
      <c r="K92" s="139">
        <f t="shared" si="37"/>
        <v>80504.632</v>
      </c>
      <c r="L92" s="139">
        <f t="shared" si="37"/>
        <v>88049.20300000001</v>
      </c>
    </row>
    <row r="93" spans="1:12" ht="12.75">
      <c r="A93" s="160" t="s">
        <v>10</v>
      </c>
      <c r="B93" s="139">
        <f aca="true" t="shared" si="38" ref="B93:L93">SUM(B30,B51)</f>
        <v>6589.034</v>
      </c>
      <c r="C93" s="139">
        <f t="shared" si="38"/>
        <v>5230.638</v>
      </c>
      <c r="D93" s="139">
        <f t="shared" si="38"/>
        <v>6262.9580000000005</v>
      </c>
      <c r="E93" s="139">
        <f t="shared" si="38"/>
        <v>6963.577</v>
      </c>
      <c r="F93" s="139">
        <f t="shared" si="38"/>
        <v>7452.819</v>
      </c>
      <c r="G93" s="139">
        <f t="shared" si="38"/>
        <v>6895.359</v>
      </c>
      <c r="H93" s="139">
        <f t="shared" si="38"/>
        <v>7426.710999999999</v>
      </c>
      <c r="I93" s="139">
        <f t="shared" si="38"/>
        <v>8026.329</v>
      </c>
      <c r="J93" s="139">
        <f t="shared" si="38"/>
        <v>7455.463000000001</v>
      </c>
      <c r="K93" s="139">
        <f t="shared" si="38"/>
        <v>7233.157999999999</v>
      </c>
      <c r="L93" s="139">
        <f t="shared" si="38"/>
        <v>7787.899</v>
      </c>
    </row>
    <row r="94" spans="1:12" ht="12.75">
      <c r="A94" s="160" t="s">
        <v>69</v>
      </c>
      <c r="B94" s="139">
        <f aca="true" t="shared" si="39" ref="B94:L94">SUM(B31,B52)</f>
        <v>17339.764000000003</v>
      </c>
      <c r="C94" s="139">
        <f t="shared" si="39"/>
        <v>15566.676</v>
      </c>
      <c r="D94" s="139">
        <f t="shared" si="39"/>
        <v>17773.753</v>
      </c>
      <c r="E94" s="139">
        <f t="shared" si="39"/>
        <v>17892.537</v>
      </c>
      <c r="F94" s="139">
        <f t="shared" si="39"/>
        <v>17602.149</v>
      </c>
      <c r="G94" s="139">
        <f t="shared" si="39"/>
        <v>19873.617000000002</v>
      </c>
      <c r="H94" s="139">
        <f t="shared" si="39"/>
        <v>20861.011</v>
      </c>
      <c r="I94" s="139">
        <f t="shared" si="39"/>
        <v>22093.98</v>
      </c>
      <c r="J94" s="139">
        <f t="shared" si="39"/>
        <v>23906.318</v>
      </c>
      <c r="K94" s="139">
        <f t="shared" si="39"/>
        <v>27792.845</v>
      </c>
      <c r="L94" s="139">
        <f t="shared" si="39"/>
        <v>32667.802</v>
      </c>
    </row>
    <row r="95" spans="1:12" ht="12.75">
      <c r="A95" s="160" t="s">
        <v>70</v>
      </c>
      <c r="B95" s="139">
        <f aca="true" t="shared" si="40" ref="B95:L95">SUM(B32,B53)</f>
        <v>33622.08500000001</v>
      </c>
      <c r="C95" s="139">
        <f t="shared" si="40"/>
        <v>31093.040999999997</v>
      </c>
      <c r="D95" s="139">
        <f t="shared" si="40"/>
        <v>35708.144</v>
      </c>
      <c r="E95" s="139">
        <f t="shared" si="40"/>
        <v>36385.404</v>
      </c>
      <c r="F95" s="139">
        <f t="shared" si="40"/>
        <v>42150.554</v>
      </c>
      <c r="G95" s="139">
        <f t="shared" si="40"/>
        <v>49099.563</v>
      </c>
      <c r="H95" s="139">
        <f t="shared" si="40"/>
        <v>56962.706</v>
      </c>
      <c r="I95" s="139">
        <f t="shared" si="40"/>
        <v>61411.76800000001</v>
      </c>
      <c r="J95" s="139">
        <f t="shared" si="40"/>
        <v>65903.84599999999</v>
      </c>
      <c r="K95" s="139">
        <f t="shared" si="40"/>
        <v>74598.73400000001</v>
      </c>
      <c r="L95" s="139">
        <f t="shared" si="40"/>
        <v>82481.79999999999</v>
      </c>
    </row>
    <row r="96" spans="1:12" ht="12.75">
      <c r="A96" s="160" t="s">
        <v>71</v>
      </c>
      <c r="B96" s="139">
        <f aca="true" t="shared" si="41" ref="B96:L96">SUM(B33,B54)</f>
        <v>4120.258</v>
      </c>
      <c r="C96" s="139">
        <f t="shared" si="41"/>
        <v>3724.809</v>
      </c>
      <c r="D96" s="139">
        <f t="shared" si="41"/>
        <v>3949.989</v>
      </c>
      <c r="E96" s="139">
        <f t="shared" si="41"/>
        <v>3707.349</v>
      </c>
      <c r="F96" s="139">
        <f t="shared" si="41"/>
        <v>4222.643</v>
      </c>
      <c r="G96" s="139">
        <f t="shared" si="41"/>
        <v>4588.925</v>
      </c>
      <c r="H96" s="139">
        <f t="shared" si="41"/>
        <v>5058.189</v>
      </c>
      <c r="I96" s="139">
        <f t="shared" si="41"/>
        <v>5833.3009999999995</v>
      </c>
      <c r="J96" s="139">
        <f t="shared" si="41"/>
        <v>6398.079</v>
      </c>
      <c r="K96" s="139">
        <f t="shared" si="41"/>
        <v>7528.929</v>
      </c>
      <c r="L96" s="139">
        <f t="shared" si="41"/>
        <v>8807.979</v>
      </c>
    </row>
    <row r="97" spans="1:12" ht="12.75">
      <c r="A97" s="160" t="s">
        <v>72</v>
      </c>
      <c r="B97" s="139">
        <f aca="true" t="shared" si="42" ref="B97:L97">SUM(B34,B55)</f>
        <v>17141.925000000003</v>
      </c>
      <c r="C97" s="139">
        <f t="shared" si="42"/>
        <v>16356.131</v>
      </c>
      <c r="D97" s="139">
        <f t="shared" si="42"/>
        <v>21556.916999999998</v>
      </c>
      <c r="E97" s="139">
        <f t="shared" si="42"/>
        <v>22693.845</v>
      </c>
      <c r="F97" s="139">
        <f t="shared" si="42"/>
        <v>24615.240999999998</v>
      </c>
      <c r="G97" s="139">
        <f t="shared" si="42"/>
        <v>26354.012000000002</v>
      </c>
      <c r="H97" s="139">
        <f t="shared" si="42"/>
        <v>28278.642</v>
      </c>
      <c r="I97" s="139">
        <f t="shared" si="42"/>
        <v>28945.124</v>
      </c>
      <c r="J97" s="139">
        <f t="shared" si="42"/>
        <v>28466.244</v>
      </c>
      <c r="K97" s="139">
        <f t="shared" si="42"/>
        <v>29658.024999999998</v>
      </c>
      <c r="L97" s="139">
        <f t="shared" si="42"/>
        <v>33397.07399999999</v>
      </c>
    </row>
    <row r="98" spans="1:12" ht="12.75">
      <c r="A98" s="160" t="s">
        <v>73</v>
      </c>
      <c r="B98" s="139">
        <f aca="true" t="shared" si="43" ref="B98:L98">SUM(B35,B56)</f>
        <v>253.136</v>
      </c>
      <c r="C98" s="139">
        <f t="shared" si="43"/>
        <v>258.169</v>
      </c>
      <c r="D98" s="139">
        <f t="shared" si="43"/>
        <v>286.118</v>
      </c>
      <c r="E98" s="139">
        <f t="shared" si="43"/>
        <v>290.451</v>
      </c>
      <c r="F98" s="139">
        <f t="shared" si="43"/>
        <v>361.15</v>
      </c>
      <c r="G98" s="139">
        <f t="shared" si="43"/>
        <v>380.074</v>
      </c>
      <c r="H98" s="139">
        <f t="shared" si="43"/>
        <v>420.996</v>
      </c>
      <c r="I98" s="139">
        <f t="shared" si="43"/>
        <v>446.551</v>
      </c>
      <c r="J98" s="139">
        <f t="shared" si="43"/>
        <v>453.941</v>
      </c>
      <c r="K98" s="139">
        <f t="shared" si="43"/>
        <v>738.233</v>
      </c>
      <c r="L98" s="139">
        <f t="shared" si="43"/>
        <v>557.327</v>
      </c>
    </row>
    <row r="99" spans="1:12" ht="12.75">
      <c r="A99" s="160" t="s">
        <v>74</v>
      </c>
      <c r="B99" s="139">
        <f aca="true" t="shared" si="44" ref="B99:L99">SUM(B36,B57)</f>
        <v>26381.874</v>
      </c>
      <c r="C99" s="139">
        <f t="shared" si="44"/>
        <v>27304.926</v>
      </c>
      <c r="D99" s="139">
        <f t="shared" si="44"/>
        <v>31695.354</v>
      </c>
      <c r="E99" s="139">
        <f t="shared" si="44"/>
        <v>36803.757999999994</v>
      </c>
      <c r="F99" s="139">
        <f t="shared" si="44"/>
        <v>40833.365999999995</v>
      </c>
      <c r="G99" s="139">
        <f t="shared" si="44"/>
        <v>44452.785</v>
      </c>
      <c r="H99" s="139">
        <f t="shared" si="44"/>
        <v>48857.143</v>
      </c>
      <c r="I99" s="139">
        <f t="shared" si="44"/>
        <v>55387.799</v>
      </c>
      <c r="J99" s="139">
        <f t="shared" si="44"/>
        <v>57278.828</v>
      </c>
      <c r="K99" s="139">
        <f t="shared" si="44"/>
        <v>58112.547</v>
      </c>
      <c r="L99" s="139">
        <f t="shared" si="44"/>
        <v>60326.619</v>
      </c>
    </row>
    <row r="100" spans="1:12" ht="12.75">
      <c r="A100" s="160" t="s">
        <v>75</v>
      </c>
      <c r="B100" s="139">
        <f aca="true" t="shared" si="45" ref="B100:L100">SUM(B37,B58)</f>
        <v>2817.1890000000003</v>
      </c>
      <c r="C100" s="139">
        <f t="shared" si="45"/>
        <v>2852.9970000000003</v>
      </c>
      <c r="D100" s="139">
        <f t="shared" si="45"/>
        <v>3650.199</v>
      </c>
      <c r="E100" s="139">
        <f t="shared" si="45"/>
        <v>3746.84</v>
      </c>
      <c r="F100" s="139">
        <f t="shared" si="45"/>
        <v>3831.96</v>
      </c>
      <c r="G100" s="139">
        <f t="shared" si="45"/>
        <v>4912.2390000000005</v>
      </c>
      <c r="H100" s="139">
        <f t="shared" si="45"/>
        <v>5435.523999999999</v>
      </c>
      <c r="I100" s="139">
        <f t="shared" si="45"/>
        <v>6227.686</v>
      </c>
      <c r="J100" s="139">
        <f t="shared" si="45"/>
        <v>7281.948</v>
      </c>
      <c r="K100" s="139">
        <f t="shared" si="45"/>
        <v>7887.5830000000005</v>
      </c>
      <c r="L100" s="139">
        <f t="shared" si="45"/>
        <v>8798.959</v>
      </c>
    </row>
    <row r="101" spans="1:12" ht="12.75">
      <c r="A101" s="160" t="s">
        <v>76</v>
      </c>
      <c r="B101" s="139">
        <f aca="true" t="shared" si="46" ref="B101:L101">SUM(B38,B59)</f>
        <v>6067.373</v>
      </c>
      <c r="C101" s="139">
        <f t="shared" si="46"/>
        <v>6199.805</v>
      </c>
      <c r="D101" s="139">
        <f t="shared" si="46"/>
        <v>6792.603</v>
      </c>
      <c r="E101" s="139">
        <f t="shared" si="46"/>
        <v>6971.179</v>
      </c>
      <c r="F101" s="139">
        <f t="shared" si="46"/>
        <v>6615.897999999999</v>
      </c>
      <c r="G101" s="139">
        <f t="shared" si="46"/>
        <v>6603.058999999999</v>
      </c>
      <c r="H101" s="139">
        <f t="shared" si="46"/>
        <v>6822.088</v>
      </c>
      <c r="I101" s="139">
        <f t="shared" si="46"/>
        <v>7553.089999999999</v>
      </c>
      <c r="J101" s="139">
        <f t="shared" si="46"/>
        <v>7974.410999999999</v>
      </c>
      <c r="K101" s="139">
        <f t="shared" si="46"/>
        <v>8137.453000000001</v>
      </c>
      <c r="L101" s="139">
        <f t="shared" si="46"/>
        <v>9165.402</v>
      </c>
    </row>
    <row r="102" spans="1:12" ht="12.75">
      <c r="A102" s="160" t="s">
        <v>19</v>
      </c>
      <c r="B102" s="139">
        <f aca="true" t="shared" si="47" ref="B102:L102">SUM(B39,B60)</f>
        <v>3869.4030000000002</v>
      </c>
      <c r="C102" s="139">
        <f t="shared" si="47"/>
        <v>3803.124</v>
      </c>
      <c r="D102" s="139">
        <f t="shared" si="47"/>
        <v>3755.209</v>
      </c>
      <c r="E102" s="139">
        <f t="shared" si="47"/>
        <v>4711.536</v>
      </c>
      <c r="F102" s="139">
        <f t="shared" si="47"/>
        <v>5871.461</v>
      </c>
      <c r="G102" s="139">
        <f t="shared" si="47"/>
        <v>7658.9310000000005</v>
      </c>
      <c r="H102" s="139">
        <f t="shared" si="47"/>
        <v>7748.35</v>
      </c>
      <c r="I102" s="139">
        <f t="shared" si="47"/>
        <v>8529.062</v>
      </c>
      <c r="J102" s="139">
        <f t="shared" si="47"/>
        <v>9467.213</v>
      </c>
      <c r="K102" s="139">
        <f t="shared" si="47"/>
        <v>6592.464</v>
      </c>
      <c r="L102" s="139">
        <f t="shared" si="47"/>
        <v>6188.478999999999</v>
      </c>
    </row>
    <row r="103" spans="1:12" ht="12.75">
      <c r="A103" s="160" t="s">
        <v>20</v>
      </c>
      <c r="B103" s="139">
        <f aca="true" t="shared" si="48" ref="B103:L103">SUM(B40,B61)</f>
        <v>9457.307142857142</v>
      </c>
      <c r="C103" s="139">
        <f t="shared" si="48"/>
        <v>8892.1</v>
      </c>
      <c r="D103" s="139">
        <f t="shared" si="48"/>
        <v>9092.15142857143</v>
      </c>
      <c r="E103" s="139">
        <f t="shared" si="48"/>
        <v>9906.477142857144</v>
      </c>
      <c r="F103" s="139">
        <f t="shared" si="48"/>
        <v>10217.444285714286</v>
      </c>
      <c r="G103" s="139">
        <f t="shared" si="48"/>
        <v>10404.494285714285</v>
      </c>
      <c r="H103" s="139">
        <f t="shared" si="48"/>
        <v>11009.89</v>
      </c>
      <c r="I103" s="139">
        <f t="shared" si="48"/>
        <v>11586.692142857144</v>
      </c>
      <c r="J103" s="139">
        <f t="shared" si="48"/>
        <v>11753.888571428572</v>
      </c>
      <c r="K103" s="139">
        <f t="shared" si="48"/>
        <v>11848.341428571428</v>
      </c>
      <c r="L103" s="139">
        <f t="shared" si="48"/>
        <v>12661.658571428572</v>
      </c>
    </row>
    <row r="104" spans="1:12" ht="12.75">
      <c r="A104" s="160" t="s">
        <v>79</v>
      </c>
      <c r="B104" s="139">
        <f aca="true" t="shared" si="49" ref="B104:L104">SUM(B41,B62)</f>
        <v>62834.451</v>
      </c>
      <c r="C104" s="139">
        <f t="shared" si="49"/>
        <v>59253.978</v>
      </c>
      <c r="D104" s="139">
        <f t="shared" si="49"/>
        <v>68717.574</v>
      </c>
      <c r="E104" s="139">
        <f t="shared" si="49"/>
        <v>76001.411</v>
      </c>
      <c r="F104" s="139">
        <f t="shared" si="49"/>
        <v>82273.591</v>
      </c>
      <c r="G104" s="139">
        <f t="shared" si="49"/>
        <v>89842.306</v>
      </c>
      <c r="H104" s="139">
        <f t="shared" si="49"/>
        <v>96510.17599999999</v>
      </c>
      <c r="I104" s="139">
        <f t="shared" si="49"/>
        <v>103950.58399999999</v>
      </c>
      <c r="J104" s="139">
        <f t="shared" si="49"/>
        <v>114150.318</v>
      </c>
      <c r="K104" s="139">
        <f t="shared" si="49"/>
        <v>116558.205</v>
      </c>
      <c r="L104" s="139">
        <f t="shared" si="49"/>
        <v>117531.609</v>
      </c>
    </row>
    <row r="107" ht="12.75">
      <c r="B107" s="164" t="s">
        <v>134</v>
      </c>
    </row>
    <row r="109" spans="1:12" ht="12.75">
      <c r="A109" s="159"/>
      <c r="B109" s="165">
        <v>1990</v>
      </c>
      <c r="C109" s="165">
        <v>1991</v>
      </c>
      <c r="D109" s="165">
        <v>1992</v>
      </c>
      <c r="E109" s="165">
        <v>1993</v>
      </c>
      <c r="F109" s="165">
        <v>1994</v>
      </c>
      <c r="G109" s="165">
        <v>1995</v>
      </c>
      <c r="H109" s="165">
        <v>1996</v>
      </c>
      <c r="I109" s="165">
        <v>1997</v>
      </c>
      <c r="J109" s="165">
        <v>1998</v>
      </c>
      <c r="K109" s="165">
        <v>1999</v>
      </c>
      <c r="L109" s="165">
        <v>2000</v>
      </c>
    </row>
    <row r="110" spans="1:12" ht="12.75">
      <c r="A110" s="160" t="s">
        <v>5</v>
      </c>
      <c r="B110" s="139">
        <f aca="true" t="shared" si="50" ref="B110:L110">SUM(B111:B125)</f>
        <v>269739.287</v>
      </c>
      <c r="C110" s="139">
        <f t="shared" si="50"/>
        <v>257258.47999999998</v>
      </c>
      <c r="D110" s="139">
        <f t="shared" si="50"/>
        <v>294322.16799999995</v>
      </c>
      <c r="E110" s="139">
        <f t="shared" si="50"/>
        <v>316316.72099999996</v>
      </c>
      <c r="F110" s="139">
        <f t="shared" si="50"/>
        <v>342375.4820000001</v>
      </c>
      <c r="G110" s="139">
        <f t="shared" si="50"/>
        <v>368756.721</v>
      </c>
      <c r="H110" s="139">
        <f t="shared" si="50"/>
        <v>397908.71</v>
      </c>
      <c r="I110" s="139">
        <f t="shared" si="50"/>
        <v>440867.6070000001</v>
      </c>
      <c r="J110" s="139">
        <f t="shared" si="50"/>
        <v>473410.134</v>
      </c>
      <c r="K110" s="139">
        <f t="shared" si="50"/>
        <v>506022.469</v>
      </c>
      <c r="L110" s="139">
        <f t="shared" si="50"/>
        <v>542088.201</v>
      </c>
    </row>
    <row r="111" spans="1:12" ht="12.75">
      <c r="A111" s="160" t="s">
        <v>66</v>
      </c>
      <c r="B111" s="139">
        <f>'[2]Total'!B$5/1000</f>
        <v>7572.428</v>
      </c>
      <c r="C111" s="139">
        <f>'[2]Total'!C$5/1000</f>
        <v>6223.08</v>
      </c>
      <c r="D111" s="139">
        <f>'[2]Total'!D$5/1000</f>
        <v>6202.586</v>
      </c>
      <c r="E111" s="139">
        <f>'[2]Total'!E$5/1000</f>
        <v>6485.297</v>
      </c>
      <c r="F111" s="139">
        <f>'[2]Total'!F$5/1000</f>
        <v>7496.971</v>
      </c>
      <c r="G111" s="139">
        <f>'[2]Total'!G$5/1000</f>
        <v>8619.822</v>
      </c>
      <c r="H111" s="139">
        <f>'[2]Total'!H$5/1000</f>
        <v>9011.305</v>
      </c>
      <c r="I111" s="139">
        <f>'[2]Total'!I$5/1000</f>
        <v>11273.577</v>
      </c>
      <c r="J111" s="139">
        <f>'[2]Total'!J$5/1000</f>
        <v>15338.481</v>
      </c>
      <c r="K111" s="139">
        <f>'[2]Total'!K$5/1000</f>
        <v>17692.968</v>
      </c>
      <c r="L111" s="139">
        <f>'[2]Total'!L$5/1000</f>
        <v>19378.689</v>
      </c>
    </row>
    <row r="112" spans="1:12" ht="12.75">
      <c r="A112" s="160" t="s">
        <v>67</v>
      </c>
      <c r="B112" s="139">
        <f>2*'[2]Total'!B$6/7000</f>
        <v>4718.86</v>
      </c>
      <c r="C112" s="139">
        <f>2*'[2]Total'!C$6/7000</f>
        <v>4404.680285714286</v>
      </c>
      <c r="D112" s="139">
        <f>2*'[2]Total'!D$6/7000</f>
        <v>4485.292571428571</v>
      </c>
      <c r="E112" s="139">
        <f>2*'[2]Total'!E$6/7000</f>
        <v>5182.441142857143</v>
      </c>
      <c r="F112" s="139">
        <f>2*'[2]Total'!F$6/7000</f>
        <v>5275.900857142857</v>
      </c>
      <c r="G112" s="139">
        <f>2*'[2]Total'!G$6/7000</f>
        <v>5287.437428571428</v>
      </c>
      <c r="H112" s="139">
        <f>2*'[2]Total'!H$6/7000</f>
        <v>5567.744</v>
      </c>
      <c r="I112" s="139">
        <f>2*'[2]Total'!I$6/7000</f>
        <v>5808.741714285714</v>
      </c>
      <c r="J112" s="139">
        <f>2*'[2]Total'!J$6/7000</f>
        <v>5948.912285714286</v>
      </c>
      <c r="K112" s="139">
        <f>2*'[2]Total'!K$6/7000</f>
        <v>6045.715428571429</v>
      </c>
      <c r="L112" s="139">
        <f>2*'[2]Total'!L$6/7000</f>
        <v>6470.653428571429</v>
      </c>
    </row>
    <row r="113" spans="1:12" ht="12.75">
      <c r="A113" s="160" t="s">
        <v>68</v>
      </c>
      <c r="B113" s="139">
        <f>'[2]Total'!B$7/1000</f>
        <v>41902.96</v>
      </c>
      <c r="C113" s="139">
        <f>'[2]Total'!C$7/1000</f>
        <v>42684.676</v>
      </c>
      <c r="D113" s="139">
        <f>'[2]Total'!D$7/1000</f>
        <v>48660.52</v>
      </c>
      <c r="E113" s="139">
        <f>'[2]Total'!E$7/1000</f>
        <v>52657.86</v>
      </c>
      <c r="F113" s="139">
        <f>'[2]Total'!F$7/1000</f>
        <v>56536.241</v>
      </c>
      <c r="G113" s="139">
        <f>'[2]Total'!G$7/1000</f>
        <v>61602.175</v>
      </c>
      <c r="H113" s="139">
        <f>'[2]Total'!H$7/1000</f>
        <v>63260.201</v>
      </c>
      <c r="I113" s="139">
        <f>'[2]Total'!I$7/1000</f>
        <v>71353.013</v>
      </c>
      <c r="J113" s="139">
        <f>'[2]Total'!J$7/1000</f>
        <v>75437.856</v>
      </c>
      <c r="K113" s="139">
        <f>'[2]Total'!K$7/1000</f>
        <v>86153.733</v>
      </c>
      <c r="L113" s="139">
        <f>'[2]Total'!L$7/1000</f>
        <v>94169.552</v>
      </c>
    </row>
    <row r="114" spans="1:12" ht="12.75">
      <c r="A114" s="160" t="s">
        <v>10</v>
      </c>
      <c r="B114" s="139">
        <f>'[2]Total'!B$8/1000</f>
        <v>7764.413</v>
      </c>
      <c r="C114" s="139">
        <f>'[2]Total'!C$8/1000</f>
        <v>6193.36</v>
      </c>
      <c r="D114" s="139">
        <f>'[2]Total'!D$8/1000</f>
        <v>7262.379</v>
      </c>
      <c r="E114" s="139">
        <f>'[2]Total'!E$8/1000</f>
        <v>7898.715</v>
      </c>
      <c r="F114" s="139">
        <f>'[2]Total'!F$8/1000</f>
        <v>8428.539</v>
      </c>
      <c r="G114" s="139">
        <f>'[2]Total'!G$8/1000</f>
        <v>7945.009</v>
      </c>
      <c r="H114" s="139">
        <f>'[2]Total'!H$8/1000</f>
        <v>8533.168</v>
      </c>
      <c r="I114" s="139">
        <f>'[2]Total'!I$8/1000</f>
        <v>9260.648</v>
      </c>
      <c r="J114" s="139">
        <f>'[2]Total'!J$8/1000</f>
        <v>8561.155</v>
      </c>
      <c r="K114" s="139">
        <f>'[2]Total'!K$8/1000</f>
        <v>8305.451</v>
      </c>
      <c r="L114" s="139">
        <f>'[2]Total'!L$8/1000</f>
        <v>8859.508</v>
      </c>
    </row>
    <row r="115" spans="1:12" ht="12.75">
      <c r="A115" s="160" t="s">
        <v>69</v>
      </c>
      <c r="B115" s="139">
        <f>'[2]Total'!B$9/1000</f>
        <v>22111.812</v>
      </c>
      <c r="C115" s="139">
        <f>'[2]Total'!C$9/1000</f>
        <v>20472.786</v>
      </c>
      <c r="D115" s="139">
        <f>'[2]Total'!D$9/1000</f>
        <v>23857.28</v>
      </c>
      <c r="E115" s="139">
        <f>'[2]Total'!E$9/1000</f>
        <v>23265.413</v>
      </c>
      <c r="F115" s="139">
        <f>'[2]Total'!F$9/1000</f>
        <v>22530.577</v>
      </c>
      <c r="G115" s="139">
        <f>'[2]Total'!G$9/1000</f>
        <v>23811.489</v>
      </c>
      <c r="H115" s="139">
        <f>'[2]Total'!H$9/1000</f>
        <v>25920.046</v>
      </c>
      <c r="I115" s="139">
        <f>'[2]Total'!I$9/1000</f>
        <v>27633.89</v>
      </c>
      <c r="J115" s="139">
        <f>'[2]Total'!J$9/1000</f>
        <v>32520.695</v>
      </c>
      <c r="K115" s="139">
        <f>'[2]Total'!K$9/1000</f>
        <v>39255.966</v>
      </c>
      <c r="L115" s="139">
        <f>'[2]Total'!L$9/1000</f>
        <v>45463.477</v>
      </c>
    </row>
    <row r="116" spans="1:12" ht="12.75">
      <c r="A116" s="160" t="s">
        <v>70</v>
      </c>
      <c r="B116" s="139">
        <f>'[2]Total'!B$10/1000</f>
        <v>42753.898</v>
      </c>
      <c r="C116" s="139">
        <f>'[2]Total'!C$10/1000</f>
        <v>39479.397</v>
      </c>
      <c r="D116" s="139">
        <f>'[2]Total'!D$10/1000</f>
        <v>42996.627</v>
      </c>
      <c r="E116" s="139">
        <f>'[2]Total'!E$10/1000</f>
        <v>43534.607</v>
      </c>
      <c r="F116" s="139">
        <f>'[2]Total'!F$10/1000</f>
        <v>50119.396</v>
      </c>
      <c r="G116" s="139">
        <f>'[2]Total'!G$10/1000</f>
        <v>49515.381</v>
      </c>
      <c r="H116" s="139">
        <f>'[2]Total'!H$10/1000</f>
        <v>57472.329</v>
      </c>
      <c r="I116" s="139">
        <f>'[2]Total'!I$10/1000</f>
        <v>69988.554</v>
      </c>
      <c r="J116" s="139">
        <f>'[2]Total'!J$10/1000</f>
        <v>74546.499</v>
      </c>
      <c r="K116" s="139">
        <f>'[2]Total'!K$10/1000</f>
        <v>83822.531</v>
      </c>
      <c r="L116" s="139">
        <f>'[2]Total'!L$10/1000</f>
        <v>91801.29</v>
      </c>
    </row>
    <row r="117" spans="1:12" ht="12.75">
      <c r="A117" s="160" t="s">
        <v>71</v>
      </c>
      <c r="B117" s="139">
        <f>'[2]Total'!B$11/1000</f>
        <v>4190.488</v>
      </c>
      <c r="C117" s="139">
        <f>'[2]Total'!C$11/1000</f>
        <v>3786.19</v>
      </c>
      <c r="D117" s="139">
        <f>'[2]Total'!D$11/1000</f>
        <v>4010.679</v>
      </c>
      <c r="E117" s="139">
        <f>'[2]Total'!E$11/1000</f>
        <v>3759.247</v>
      </c>
      <c r="F117" s="139">
        <f>'[2]Total'!F$11/1000</f>
        <v>4280.545</v>
      </c>
      <c r="G117" s="139">
        <f>'[2]Total'!G$11/1000</f>
        <v>4660.79</v>
      </c>
      <c r="H117" s="139">
        <f>'[2]Total'!H$11/1000</f>
        <v>5126.177</v>
      </c>
      <c r="I117" s="139">
        <f>'[2]Total'!I$11/1000</f>
        <v>5892.464</v>
      </c>
      <c r="J117" s="139">
        <f>'[2]Total'!J$11/1000</f>
        <v>6466.383</v>
      </c>
      <c r="K117" s="139">
        <f>'[2]Total'!K$11/1000</f>
        <v>7601.888</v>
      </c>
      <c r="L117" s="139">
        <f>'[2]Total'!L$11/1000</f>
        <v>8888.677</v>
      </c>
    </row>
    <row r="118" spans="1:12" ht="12.75">
      <c r="A118" s="160" t="s">
        <v>72</v>
      </c>
      <c r="B118" s="139">
        <f>'[2]Total'!B$12/1000</f>
        <v>19125.63</v>
      </c>
      <c r="C118" s="139">
        <f>'[2]Total'!C$12/1000</f>
        <v>18187.283</v>
      </c>
      <c r="D118" s="139">
        <f>'[2]Total'!D$12/1000</f>
        <v>23586.029</v>
      </c>
      <c r="E118" s="139">
        <f>'[2]Total'!E$12/1000</f>
        <v>24520.364</v>
      </c>
      <c r="F118" s="139">
        <f>'[2]Total'!F$12/1000</f>
        <v>26962.295</v>
      </c>
      <c r="G118" s="139">
        <f>'[2]Total'!G$12/1000</f>
        <v>31952.753</v>
      </c>
      <c r="H118" s="139">
        <f>'[2]Total'!H$12/1000</f>
        <v>34556.182</v>
      </c>
      <c r="I118" s="139">
        <f>'[2]Total'!I$12/1000</f>
        <v>35992.322</v>
      </c>
      <c r="J118" s="139">
        <f>'[2]Total'!J$12/1000</f>
        <v>35560.996</v>
      </c>
      <c r="K118" s="139">
        <f>'[2]Total'!K$12/1000</f>
        <v>36689.998</v>
      </c>
      <c r="L118" s="139">
        <f>'[2]Total'!L$12/1000</f>
        <v>40618.183</v>
      </c>
    </row>
    <row r="119" spans="1:12" ht="12.75">
      <c r="A119" s="160" t="s">
        <v>73</v>
      </c>
      <c r="B119" s="139">
        <f>'[2]Total'!B$13/1000</f>
        <v>253.136</v>
      </c>
      <c r="C119" s="139">
        <f>'[2]Total'!C$13/1000</f>
        <v>258.169</v>
      </c>
      <c r="D119" s="139">
        <f>'[2]Total'!D$13/1000</f>
        <v>286.118</v>
      </c>
      <c r="E119" s="139">
        <f>'[2]Total'!E$13/1000</f>
        <v>290.451</v>
      </c>
      <c r="F119" s="139">
        <f>'[2]Total'!F$13/1000</f>
        <v>361.15</v>
      </c>
      <c r="G119" s="139">
        <f>'[2]Total'!G$13/1000</f>
        <v>380.074</v>
      </c>
      <c r="H119" s="139">
        <f>'[2]Total'!H$13/1000</f>
        <v>420.996</v>
      </c>
      <c r="I119" s="139">
        <f>'[2]Total'!I$13/1000</f>
        <v>446.551</v>
      </c>
      <c r="J119" s="139">
        <f>'[2]Total'!J$13/1000</f>
        <v>453.941</v>
      </c>
      <c r="K119" s="139">
        <f>'[2]Total'!K$13/1000</f>
        <v>738.233</v>
      </c>
      <c r="L119" s="139">
        <f>'[2]Total'!L$13/1000</f>
        <v>557.327</v>
      </c>
    </row>
    <row r="120" spans="1:12" ht="12.75">
      <c r="A120" s="160" t="s">
        <v>74</v>
      </c>
      <c r="B120" s="139">
        <f>'[2]Total'!B$14/1000</f>
        <v>26389.622</v>
      </c>
      <c r="C120" s="139">
        <f>'[2]Total'!C$14/1000</f>
        <v>27307.016</v>
      </c>
      <c r="D120" s="139">
        <f>'[2]Total'!D$14/1000</f>
        <v>31695.354</v>
      </c>
      <c r="E120" s="139">
        <f>'[2]Total'!E$14/1000</f>
        <v>36806.634</v>
      </c>
      <c r="F120" s="139">
        <f>'[2]Total'!F$14/1000</f>
        <v>40837.608</v>
      </c>
      <c r="G120" s="139">
        <f>'[2]Total'!G$14/1000</f>
        <v>44457.608</v>
      </c>
      <c r="H120" s="139">
        <f>'[2]Total'!H$14/1000</f>
        <v>48857.143</v>
      </c>
      <c r="I120" s="139">
        <f>'[2]Total'!I$14/1000</f>
        <v>55387.799</v>
      </c>
      <c r="J120" s="139">
        <f>'[2]Total'!J$14/1000</f>
        <v>57278.828</v>
      </c>
      <c r="K120" s="139">
        <f>'[2]Total'!K$14/1000</f>
        <v>58112.547</v>
      </c>
      <c r="L120" s="139">
        <f>'[2]Total'!L$14/1000</f>
        <v>60326.619</v>
      </c>
    </row>
    <row r="121" spans="1:12" ht="12.75">
      <c r="A121" s="160" t="s">
        <v>75</v>
      </c>
      <c r="B121" s="139">
        <f>'[2]Total'!B$15/1000</f>
        <v>2818.911</v>
      </c>
      <c r="C121" s="139">
        <f>'[2]Total'!C$15/1000</f>
        <v>2853.059</v>
      </c>
      <c r="D121" s="139">
        <f>'[2]Total'!D$15/1000</f>
        <v>3650.293</v>
      </c>
      <c r="E121" s="139">
        <f>'[2]Total'!E$15/1000</f>
        <v>3746.915</v>
      </c>
      <c r="F121" s="139">
        <f>'[2]Total'!F$15/1000</f>
        <v>3833.021</v>
      </c>
      <c r="G121" s="139">
        <f>'[2]Total'!G$15/1000</f>
        <v>4913.341</v>
      </c>
      <c r="H121" s="139">
        <f>'[2]Total'!H$15/1000</f>
        <v>5438.313</v>
      </c>
      <c r="I121" s="139">
        <f>'[2]Total'!I$15/1000</f>
        <v>6229.601</v>
      </c>
      <c r="J121" s="139">
        <f>'[2]Total'!J$15/1000</f>
        <v>7283.537</v>
      </c>
      <c r="K121" s="139">
        <f>'[2]Total'!K$15/1000</f>
        <v>7890.834</v>
      </c>
      <c r="L121" s="139">
        <f>'[2]Total'!L$15/1000</f>
        <v>8798.959</v>
      </c>
    </row>
    <row r="122" spans="1:12" ht="12.75">
      <c r="A122" s="160" t="s">
        <v>76</v>
      </c>
      <c r="B122" s="139">
        <f>'[2]Total'!B$16/1000</f>
        <v>6835.646</v>
      </c>
      <c r="C122" s="139">
        <f>'[2]Total'!C$16/1000</f>
        <v>7024.811</v>
      </c>
      <c r="D122" s="139">
        <f>'[2]Total'!D$16/1000</f>
        <v>7671.362</v>
      </c>
      <c r="E122" s="139">
        <f>'[2]Total'!E$16/1000</f>
        <v>7868.061</v>
      </c>
      <c r="F122" s="139">
        <f>'[2]Total'!F$16/1000</f>
        <v>7585.727</v>
      </c>
      <c r="G122" s="139">
        <f>'[2]Total'!G$16/1000</f>
        <v>7716.008</v>
      </c>
      <c r="H122" s="139">
        <f>'[2]Total'!H$16/1000</f>
        <v>7977.814</v>
      </c>
      <c r="I122" s="139">
        <f>'[2]Total'!I$16/1000</f>
        <v>8772.596</v>
      </c>
      <c r="J122" s="139">
        <f>'[2]Total'!J$16/1000</f>
        <v>9355.945</v>
      </c>
      <c r="K122" s="139">
        <f>'[2]Total'!K$16/1000</f>
        <v>9379.761</v>
      </c>
      <c r="L122" s="139">
        <f>'[2]Total'!L$16/1000</f>
        <v>10385.019</v>
      </c>
    </row>
    <row r="123" spans="1:12" ht="12.75">
      <c r="A123" s="160" t="s">
        <v>19</v>
      </c>
      <c r="B123" s="139">
        <f>'[2]Total'!B$17/1000</f>
        <v>4709.345</v>
      </c>
      <c r="C123" s="139">
        <f>'[2]Total'!C$17/1000</f>
        <v>4537.44</v>
      </c>
      <c r="D123" s="139">
        <f>'[2]Total'!D$17/1000</f>
        <v>4446.259</v>
      </c>
      <c r="E123" s="139">
        <f>'[2]Total'!E$17/1000</f>
        <v>5316.561</v>
      </c>
      <c r="F123" s="139">
        <f>'[2]Total'!F$17/1000</f>
        <v>6490.152</v>
      </c>
      <c r="G123" s="139">
        <f>'[2]Total'!G$17/1000</f>
        <v>8340.12</v>
      </c>
      <c r="H123" s="139">
        <f>'[2]Total'!H$17/1000</f>
        <v>8573.236</v>
      </c>
      <c r="I123" s="139">
        <f>'[2]Total'!I$17/1000</f>
        <v>9628.776</v>
      </c>
      <c r="J123" s="139">
        <f>'[2]Total'!J$17/1000</f>
        <v>10713.681</v>
      </c>
      <c r="K123" s="139">
        <f>'[2]Total'!K$17/1000</f>
        <v>7802.48</v>
      </c>
      <c r="L123" s="139">
        <f>'[2]Total'!L$17/1000</f>
        <v>7467.182</v>
      </c>
    </row>
    <row r="124" spans="1:12" ht="12.75">
      <c r="A124" s="160" t="s">
        <v>20</v>
      </c>
      <c r="B124" s="139">
        <f>5*'[2]Total'!B$6/7000</f>
        <v>11797.15</v>
      </c>
      <c r="C124" s="139">
        <f>5*'[2]Total'!C$6/7000</f>
        <v>11011.700714285715</v>
      </c>
      <c r="D124" s="139">
        <f>5*'[2]Total'!D$6/7000</f>
        <v>11213.23142857143</v>
      </c>
      <c r="E124" s="139">
        <f>5*'[2]Total'!E$6/7000</f>
        <v>12956.102857142858</v>
      </c>
      <c r="F124" s="139">
        <f>5*'[2]Total'!F$6/7000</f>
        <v>13189.752142857144</v>
      </c>
      <c r="G124" s="139">
        <f>5*'[2]Total'!G$6/7000</f>
        <v>13218.593571428572</v>
      </c>
      <c r="H124" s="139">
        <f>5*'[2]Total'!H$6/7000</f>
        <v>13919.36</v>
      </c>
      <c r="I124" s="139">
        <f>5*'[2]Total'!I$6/7000</f>
        <v>14521.854285714286</v>
      </c>
      <c r="J124" s="139">
        <f>5*'[2]Total'!J$6/7000</f>
        <v>14872.280714285715</v>
      </c>
      <c r="K124" s="139">
        <f>5*'[2]Total'!K$6/7000</f>
        <v>15114.288571428571</v>
      </c>
      <c r="L124" s="139">
        <f>5*'[2]Total'!L$6/7000</f>
        <v>16176.63357142857</v>
      </c>
    </row>
    <row r="125" spans="1:12" ht="12.75">
      <c r="A125" s="160" t="s">
        <v>79</v>
      </c>
      <c r="B125" s="139">
        <f>'[2]Total'!B$18/1000</f>
        <v>66794.988</v>
      </c>
      <c r="C125" s="139">
        <f>'[2]Total'!C$18/1000</f>
        <v>62834.832</v>
      </c>
      <c r="D125" s="139">
        <f>'[2]Total'!D$18/1000</f>
        <v>74298.158</v>
      </c>
      <c r="E125" s="139">
        <f>'[2]Total'!E$18/1000</f>
        <v>82028.052</v>
      </c>
      <c r="F125" s="139">
        <f>'[2]Total'!F$18/1000</f>
        <v>88447.607</v>
      </c>
      <c r="G125" s="139">
        <f>'[2]Total'!G$18/1000</f>
        <v>96336.12</v>
      </c>
      <c r="H125" s="139">
        <f>'[2]Total'!H$18/1000</f>
        <v>103274.696</v>
      </c>
      <c r="I125" s="139">
        <f>'[2]Total'!I$18/1000</f>
        <v>108677.22</v>
      </c>
      <c r="J125" s="139">
        <f>'[2]Total'!J$18/1000</f>
        <v>119070.944</v>
      </c>
      <c r="K125" s="139">
        <f>'[2]Total'!K$18/1000</f>
        <v>121416.075</v>
      </c>
      <c r="L125" s="139">
        <f>'[2]Total'!L$18/1000</f>
        <v>122726.432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6" sqref="A6:A21"/>
    </sheetView>
  </sheetViews>
  <sheetFormatPr defaultColWidth="9.140625" defaultRowHeight="12.75"/>
  <sheetData>
    <row r="1" ht="12.75">
      <c r="A1" s="1" t="s">
        <v>175</v>
      </c>
    </row>
    <row r="3" ht="12.75">
      <c r="A3" s="131" t="s">
        <v>379</v>
      </c>
    </row>
    <row r="4" spans="1:2" ht="12.75">
      <c r="A4" s="83" t="s">
        <v>176</v>
      </c>
      <c r="B4" s="83" t="s">
        <v>177</v>
      </c>
    </row>
    <row r="5" spans="1:7" ht="12.75">
      <c r="A5" s="128"/>
      <c r="B5" s="129" t="s">
        <v>178</v>
      </c>
      <c r="C5" s="129" t="s">
        <v>179</v>
      </c>
      <c r="D5" s="129" t="s">
        <v>0</v>
      </c>
      <c r="E5" s="129" t="s">
        <v>380</v>
      </c>
      <c r="G5" s="132" t="s">
        <v>182</v>
      </c>
    </row>
    <row r="6" spans="1:7" ht="12.75">
      <c r="A6" s="6" t="s">
        <v>5</v>
      </c>
      <c r="B6" s="124">
        <f>+country_split!B93</f>
        <v>0.8310575511876931</v>
      </c>
      <c r="C6" s="124">
        <f>+country_split!$B$181</f>
        <v>0.08985354627011155</v>
      </c>
      <c r="D6" s="124">
        <f>+country_split!$B154</f>
        <v>0.06796173782013147</v>
      </c>
      <c r="E6" s="124">
        <f>+country_split!$B124</f>
        <v>0.011127164722063885</v>
      </c>
      <c r="G6" s="130">
        <f>SUM(B6:E6)</f>
        <v>1</v>
      </c>
    </row>
    <row r="7" spans="1:7" ht="12.75">
      <c r="A7" s="6" t="s">
        <v>7</v>
      </c>
      <c r="B7" s="124">
        <f>+country_split!C93</f>
        <v>0.8353272675754809</v>
      </c>
      <c r="C7" s="124">
        <f>+country_split!$C181</f>
        <v>0.10381576047602557</v>
      </c>
      <c r="D7" s="124">
        <f>+country_split!$C154</f>
        <v>0.060856971948493536</v>
      </c>
      <c r="E7" s="124">
        <f>+country_split!$C124</f>
        <v>0</v>
      </c>
      <c r="G7" s="130">
        <f aca="true" t="shared" si="0" ref="G7:G21">SUM(B7:E7)</f>
        <v>1</v>
      </c>
    </row>
    <row r="8" spans="1:7" ht="12.75">
      <c r="A8" s="6" t="s">
        <v>8</v>
      </c>
      <c r="B8" s="124">
        <f>+country_split!D93</f>
        <v>0.8010514850763447</v>
      </c>
      <c r="C8" s="124">
        <f>+country_split!$D181</f>
        <v>0.12373999075167877</v>
      </c>
      <c r="D8" s="124">
        <f>+country_split!$D154</f>
        <v>0.05615923154119221</v>
      </c>
      <c r="E8" s="124">
        <f>+country_split!$D124</f>
        <v>0.01904929263078428</v>
      </c>
      <c r="G8" s="130">
        <f t="shared" si="0"/>
        <v>0.9999999999999999</v>
      </c>
    </row>
    <row r="9" spans="1:7" ht="12.75">
      <c r="A9" s="6" t="s">
        <v>9</v>
      </c>
      <c r="B9" s="124">
        <f>+country_split!E93</f>
        <v>0.8184471977696393</v>
      </c>
      <c r="C9" s="124">
        <f>+country_split!$E181</f>
        <v>0.08858874777449986</v>
      </c>
      <c r="D9" s="124">
        <f>+country_split!$E154</f>
        <v>0.08595332203623884</v>
      </c>
      <c r="E9" s="124">
        <f>+country_split!$E124</f>
        <v>0.007010732419621951</v>
      </c>
      <c r="G9" s="130">
        <f t="shared" si="0"/>
        <v>0.9999999999999999</v>
      </c>
    </row>
    <row r="10" spans="1:7" ht="12.75">
      <c r="A10" s="6" t="s">
        <v>10</v>
      </c>
      <c r="B10" s="124">
        <f>+country_split!F93</f>
        <v>0.7950984311240431</v>
      </c>
      <c r="C10" s="124">
        <f>+country_split!$F181</f>
        <v>0.14174977616088075</v>
      </c>
      <c r="D10" s="124">
        <f>+country_split!$F154</f>
        <v>0.03810226503005204</v>
      </c>
      <c r="E10" s="124">
        <f>+country_split!$F124</f>
        <v>0.025049527685023953</v>
      </c>
      <c r="G10" s="130">
        <f t="shared" si="0"/>
        <v>0.9999999999999998</v>
      </c>
    </row>
    <row r="11" spans="1:7" ht="12.75">
      <c r="A11" s="6" t="s">
        <v>11</v>
      </c>
      <c r="B11" s="124">
        <f>+country_split!G93</f>
        <v>0.7875743195820593</v>
      </c>
      <c r="C11" s="124">
        <f>+country_split!$G181</f>
        <v>0.13085334518555763</v>
      </c>
      <c r="D11" s="124">
        <f>+country_split!$G154</f>
        <v>0.04827035667999</v>
      </c>
      <c r="E11" s="124">
        <f>+country_split!$G124</f>
        <v>0.0333019785523929</v>
      </c>
      <c r="G11" s="130">
        <f t="shared" si="0"/>
        <v>0.9999999999999998</v>
      </c>
    </row>
    <row r="12" spans="1:7" ht="12.75">
      <c r="A12" s="6" t="s">
        <v>12</v>
      </c>
      <c r="B12" s="124">
        <f>+country_split!H93</f>
        <v>0.8489060245377767</v>
      </c>
      <c r="C12" s="124">
        <f>+country_split!$H181</f>
        <v>0.05496775716346667</v>
      </c>
      <c r="D12" s="124">
        <f>+country_split!$H145</f>
        <v>0.08741701319028312</v>
      </c>
      <c r="E12" s="124">
        <f>+country_split!$H124</f>
        <v>0.011308420821354439</v>
      </c>
      <c r="G12" s="130">
        <f t="shared" si="0"/>
        <v>1.0025992157128811</v>
      </c>
    </row>
    <row r="13" spans="1:7" ht="12.75">
      <c r="A13" s="6" t="s">
        <v>13</v>
      </c>
      <c r="B13" s="124">
        <f>+country_split!I93</f>
        <v>0.8069720656081799</v>
      </c>
      <c r="C13" s="124">
        <f>+country_split!$I181</f>
        <v>0.1563882652615673</v>
      </c>
      <c r="D13" s="124">
        <f>+country_split!$I154</f>
        <v>0.034629230536147755</v>
      </c>
      <c r="E13" s="124">
        <f>+country_split!$I124</f>
        <v>0.0020104385941050727</v>
      </c>
      <c r="F13" s="130"/>
      <c r="G13" s="130">
        <f t="shared" si="0"/>
        <v>1</v>
      </c>
    </row>
    <row r="14" spans="1:7" ht="12.75">
      <c r="A14" s="6" t="s">
        <v>14</v>
      </c>
      <c r="B14" s="124">
        <f>+country_split!J93</f>
        <v>0.8211050139786006</v>
      </c>
      <c r="C14" s="124">
        <f>+country_split!$J181</f>
        <v>0.11597571683564699</v>
      </c>
      <c r="D14" s="124">
        <f>+country_split!$J154</f>
        <v>0.05400580657960351</v>
      </c>
      <c r="E14" s="124">
        <f>+country_split!$J124</f>
        <v>0.00891346260614907</v>
      </c>
      <c r="G14" s="130">
        <f t="shared" si="0"/>
        <v>1.0000000000000002</v>
      </c>
    </row>
    <row r="15" spans="1:7" ht="12.75">
      <c r="A15" s="6" t="s">
        <v>15</v>
      </c>
      <c r="B15" s="124">
        <f>+country_split!K93</f>
        <v>0.8145213868106659</v>
      </c>
      <c r="C15" s="124">
        <f>+country_split!$K181</f>
        <v>0.13247771791700877</v>
      </c>
      <c r="D15" s="124">
        <f>+country_split!$K154</f>
        <v>0.05300089527232536</v>
      </c>
      <c r="E15" s="124">
        <f>+country_split!$K124</f>
        <v>0</v>
      </c>
      <c r="G15" s="130">
        <f t="shared" si="0"/>
        <v>1</v>
      </c>
    </row>
    <row r="16" spans="1:7" ht="12.75">
      <c r="A16" s="6" t="s">
        <v>16</v>
      </c>
      <c r="B16" s="124">
        <f>+country_split!L93</f>
        <v>0.8603658536585366</v>
      </c>
      <c r="C16" s="124">
        <f>+country_split!$L181</f>
        <v>0.04573170731707317</v>
      </c>
      <c r="D16" s="124">
        <f>+country_split!$L154</f>
        <v>0.09390243902439024</v>
      </c>
      <c r="E16" s="124">
        <f>+country_split!$L124</f>
        <v>0</v>
      </c>
      <c r="G16" s="130">
        <f t="shared" si="0"/>
        <v>1</v>
      </c>
    </row>
    <row r="17" spans="1:7" ht="12.75">
      <c r="A17" s="6" t="s">
        <v>17</v>
      </c>
      <c r="B17" s="124">
        <f>+country_split!M93</f>
        <v>0.7666038786943521</v>
      </c>
      <c r="C17" s="124">
        <f>+country_split!$M181</f>
        <v>0.14797765033800628</v>
      </c>
      <c r="D17" s="124">
        <f>+country_split!$M154</f>
        <v>0.08541847096764164</v>
      </c>
      <c r="E17" s="124">
        <f>+country_split!$M124</f>
        <v>0</v>
      </c>
      <c r="G17" s="130">
        <f t="shared" si="0"/>
        <v>1</v>
      </c>
    </row>
    <row r="18" spans="1:7" ht="12.75">
      <c r="A18" s="6" t="s">
        <v>18</v>
      </c>
      <c r="B18" s="124">
        <f>+country_split!N93</f>
        <v>0.8281312529838789</v>
      </c>
      <c r="C18" s="124">
        <f>+country_split!$N181</f>
        <v>0.1204473083911479</v>
      </c>
      <c r="D18" s="124">
        <f>+country_split!$N154</f>
        <v>0.03900179160788776</v>
      </c>
      <c r="E18" s="124">
        <f>+country_split!$N124</f>
        <v>0.012419647017085443</v>
      </c>
      <c r="G18" s="130">
        <f t="shared" si="0"/>
        <v>1</v>
      </c>
    </row>
    <row r="19" spans="1:7" ht="12.75">
      <c r="A19" s="6" t="s">
        <v>19</v>
      </c>
      <c r="B19" s="124">
        <f>+country_split!O93</f>
        <v>0.8180505362247832</v>
      </c>
      <c r="C19" s="124">
        <f>+country_split!O181</f>
        <v>0.11308777610288745</v>
      </c>
      <c r="D19" s="124">
        <f>+country_split!$O154</f>
        <v>0.050081729416993015</v>
      </c>
      <c r="E19" s="124">
        <f>+country_split!$O124</f>
        <v>0.018779958255336425</v>
      </c>
      <c r="G19" s="130">
        <f t="shared" si="0"/>
        <v>1.0000000000000002</v>
      </c>
    </row>
    <row r="20" spans="1:7" ht="12.75">
      <c r="A20" s="30" t="s">
        <v>20</v>
      </c>
      <c r="B20" s="371">
        <f>+country_split!P93</f>
        <v>0.8183420533738835</v>
      </c>
      <c r="C20" s="371">
        <f>+country_split!$P181</f>
        <v>0.07817981557496975</v>
      </c>
      <c r="D20" s="371">
        <f>+country_split!$P154</f>
        <v>0.07251003636855587</v>
      </c>
      <c r="E20" s="371">
        <f>+country_split!$P124</f>
        <v>0.03096809468259095</v>
      </c>
      <c r="G20" s="130">
        <f t="shared" si="0"/>
        <v>1.0000000000000002</v>
      </c>
    </row>
    <row r="21" spans="1:7" ht="12.75">
      <c r="A21" s="6" t="s">
        <v>21</v>
      </c>
      <c r="B21" s="124">
        <f>+country_split!Q93</f>
        <v>0.8728527961824374</v>
      </c>
      <c r="C21" s="124">
        <f>+country_split!$Q181</f>
        <v>0.06407565387962427</v>
      </c>
      <c r="D21" s="124">
        <f>+country_split!$Q154</f>
        <v>0.05567462370429577</v>
      </c>
      <c r="E21" s="124">
        <f>+country_split!$Q124</f>
        <v>0.007396926233642477</v>
      </c>
      <c r="G21" s="130">
        <f t="shared" si="0"/>
        <v>0.9999999999999999</v>
      </c>
    </row>
    <row r="22" spans="1:2" ht="12.75">
      <c r="A22" s="6" t="s">
        <v>180</v>
      </c>
      <c r="B22" s="6" t="s">
        <v>181</v>
      </c>
    </row>
    <row r="25" spans="2:16" ht="12.7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2:16" ht="12.75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30" ht="12.75">
      <c r="A30" s="37"/>
    </row>
    <row r="31" ht="12.75">
      <c r="A31" s="37"/>
    </row>
    <row r="32" ht="12.75">
      <c r="A32" s="37"/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ht="12.75">
      <c r="A44" s="37"/>
    </row>
    <row r="46" ht="12.75">
      <c r="A46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4"/>
  <dimension ref="A1:R52"/>
  <sheetViews>
    <sheetView workbookViewId="0" topLeftCell="A1">
      <selection activeCell="P12" sqref="P12"/>
    </sheetView>
  </sheetViews>
  <sheetFormatPr defaultColWidth="9.140625" defaultRowHeight="12.75"/>
  <cols>
    <col min="1" max="1" width="8.28125" style="7" customWidth="1"/>
    <col min="2" max="18" width="6.8515625" style="7" customWidth="1"/>
    <col min="19" max="16384" width="9.140625" style="7" customWidth="1"/>
  </cols>
  <sheetData>
    <row r="1" spans="1:2" ht="11.25">
      <c r="A1" s="52" t="s">
        <v>56</v>
      </c>
      <c r="B1" s="52"/>
    </row>
    <row r="2" spans="1:17" ht="11.25">
      <c r="A2" s="29" t="s">
        <v>3</v>
      </c>
      <c r="Q2" s="46"/>
    </row>
    <row r="3" spans="1:17" ht="11.25">
      <c r="A3" s="29"/>
      <c r="Q3" s="46"/>
    </row>
    <row r="4" spans="1:18" ht="11.25">
      <c r="A4" s="120"/>
      <c r="B4" s="120" t="s">
        <v>5</v>
      </c>
      <c r="C4" s="120" t="s">
        <v>7</v>
      </c>
      <c r="D4" s="120" t="s">
        <v>8</v>
      </c>
      <c r="E4" s="120" t="s">
        <v>9</v>
      </c>
      <c r="F4" s="120" t="s">
        <v>10</v>
      </c>
      <c r="G4" s="120" t="s">
        <v>11</v>
      </c>
      <c r="H4" s="120" t="s">
        <v>12</v>
      </c>
      <c r="I4" s="120" t="s">
        <v>13</v>
      </c>
      <c r="J4" s="120" t="s">
        <v>14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  <c r="R4" s="54"/>
    </row>
    <row r="5" spans="1:18" ht="11.25">
      <c r="A5" s="121">
        <v>1991</v>
      </c>
      <c r="B5" s="28" t="e">
        <f>NA()</f>
        <v>#N/A</v>
      </c>
      <c r="C5" s="28" t="e">
        <f>NA()</f>
        <v>#N/A</v>
      </c>
      <c r="D5" s="28" t="e">
        <f>NA()</f>
        <v>#N/A</v>
      </c>
      <c r="E5" s="28" t="e">
        <f>NA()</f>
        <v>#N/A</v>
      </c>
      <c r="F5" s="28" t="e">
        <f>NA()</f>
        <v>#N/A</v>
      </c>
      <c r="G5" s="28" t="e">
        <f>NA()</f>
        <v>#N/A</v>
      </c>
      <c r="H5" s="28" t="e">
        <f>NA()</f>
        <v>#N/A</v>
      </c>
      <c r="I5" s="28" t="e">
        <f>NA()</f>
        <v>#N/A</v>
      </c>
      <c r="J5" s="28" t="e">
        <f>NA()</f>
        <v>#N/A</v>
      </c>
      <c r="K5" s="28" t="e">
        <f>NA()</f>
        <v>#N/A</v>
      </c>
      <c r="L5" s="28" t="e">
        <f>NA()</f>
        <v>#N/A</v>
      </c>
      <c r="M5" s="28" t="e">
        <f>NA()</f>
        <v>#N/A</v>
      </c>
      <c r="N5" s="28" t="e">
        <f>NA()</f>
        <v>#N/A</v>
      </c>
      <c r="O5" s="28" t="e">
        <f>NA()</f>
        <v>#N/A</v>
      </c>
      <c r="P5" s="28" t="e">
        <f>NA()</f>
        <v>#N/A</v>
      </c>
      <c r="Q5" s="28" t="e">
        <f>NA()</f>
        <v>#N/A</v>
      </c>
      <c r="R5" s="54"/>
    </row>
    <row r="6" spans="1:18" ht="11.25">
      <c r="A6" s="121">
        <v>1992</v>
      </c>
      <c r="B6" s="7">
        <f>+basedata_walking!Q6</f>
        <v>137.3</v>
      </c>
      <c r="C6" s="28">
        <f>+basedata_walking!B6</f>
        <v>3.7</v>
      </c>
      <c r="D6" s="28">
        <f>+basedata_walking!C6</f>
        <v>2.1</v>
      </c>
      <c r="E6" s="28">
        <f>+basedata_walking!D6</f>
        <v>29.8</v>
      </c>
      <c r="F6" s="28">
        <f>+basedata_walking!E6</f>
        <v>3.8</v>
      </c>
      <c r="G6" s="28">
        <f>+basedata_walking!F6</f>
        <v>13.5</v>
      </c>
      <c r="H6" s="28">
        <f>+basedata_walking!G6</f>
        <v>22.4</v>
      </c>
      <c r="I6" s="28">
        <f>+basedata_walking!H6</f>
        <v>1.2</v>
      </c>
      <c r="J6" s="28">
        <f>+basedata_walking!I6</f>
        <v>22.8</v>
      </c>
      <c r="K6" s="28">
        <f>+basedata_walking!J6</f>
        <v>0.2</v>
      </c>
      <c r="L6" s="28">
        <f>+basedata_walking!K6</f>
        <v>5.7</v>
      </c>
      <c r="M6" s="28">
        <f>+basedata_walking!L6</f>
        <v>3.2</v>
      </c>
      <c r="N6" s="28">
        <f>+basedata_walking!M6</f>
        <v>3.5</v>
      </c>
      <c r="O6" s="28">
        <f>+basedata_walking!N6</f>
        <v>2</v>
      </c>
      <c r="P6" s="28">
        <f>+basedata_walking!O6</f>
        <v>3.2</v>
      </c>
      <c r="Q6" s="28">
        <f>+basedata_walking!P6</f>
        <v>20.2</v>
      </c>
      <c r="R6" s="13"/>
    </row>
    <row r="7" spans="1:18" ht="11.25">
      <c r="A7" s="121">
        <v>1993</v>
      </c>
      <c r="B7" s="7">
        <f>+basedata_walking!Q7</f>
        <v>137.29999999999998</v>
      </c>
      <c r="C7" s="28">
        <f>+basedata_walking!B7</f>
        <v>3.7</v>
      </c>
      <c r="D7" s="28">
        <f>+basedata_walking!C7</f>
        <v>2.1</v>
      </c>
      <c r="E7" s="28">
        <f>+basedata_walking!D7</f>
        <v>30</v>
      </c>
      <c r="F7" s="28">
        <f>+basedata_walking!E7</f>
        <v>3.8</v>
      </c>
      <c r="G7" s="28">
        <f>+basedata_walking!F7</f>
        <v>13.5</v>
      </c>
      <c r="H7" s="28">
        <f>+basedata_walking!G7</f>
        <v>22.3</v>
      </c>
      <c r="I7" s="28">
        <f>+basedata_walking!H7</f>
        <v>1.2</v>
      </c>
      <c r="J7" s="28">
        <f>+basedata_walking!I7</f>
        <v>22.6</v>
      </c>
      <c r="K7" s="28">
        <f>+basedata_walking!J7</f>
        <v>0.2</v>
      </c>
      <c r="L7" s="28">
        <f>+basedata_walking!K7</f>
        <v>5.7</v>
      </c>
      <c r="M7" s="28">
        <f>+basedata_walking!L7</f>
        <v>3.3</v>
      </c>
      <c r="N7" s="28">
        <f>+basedata_walking!M7</f>
        <v>3.5</v>
      </c>
      <c r="O7" s="28">
        <f>+basedata_walking!N7</f>
        <v>2</v>
      </c>
      <c r="P7" s="28">
        <f>+basedata_walking!O7</f>
        <v>3.2</v>
      </c>
      <c r="Q7" s="28">
        <f>+basedata_walking!P7</f>
        <v>20.2</v>
      </c>
      <c r="R7" s="13"/>
    </row>
    <row r="8" spans="1:18" ht="11.25">
      <c r="A8" s="121">
        <v>1994</v>
      </c>
      <c r="B8" s="7">
        <f>+basedata_walking!Q8</f>
        <v>137.7</v>
      </c>
      <c r="C8" s="28">
        <f>+basedata_walking!B8</f>
        <v>3.7</v>
      </c>
      <c r="D8" s="28">
        <f>+basedata_walking!C8</f>
        <v>2.2</v>
      </c>
      <c r="E8" s="28">
        <f>+basedata_walking!D8</f>
        <v>29.9</v>
      </c>
      <c r="F8" s="28">
        <f>+basedata_walking!E8</f>
        <v>3.8</v>
      </c>
      <c r="G8" s="28">
        <f>+basedata_walking!F8</f>
        <v>13.6</v>
      </c>
      <c r="H8" s="28">
        <f>+basedata_walking!G8</f>
        <v>22.5</v>
      </c>
      <c r="I8" s="28">
        <f>+basedata_walking!H8</f>
        <v>1.3</v>
      </c>
      <c r="J8" s="28">
        <f>+basedata_walking!I8</f>
        <v>22.6</v>
      </c>
      <c r="K8" s="28">
        <f>+basedata_walking!J8</f>
        <v>0.2</v>
      </c>
      <c r="L8" s="28">
        <f>+basedata_walking!K8</f>
        <v>5.7</v>
      </c>
      <c r="M8" s="28">
        <f>+basedata_walking!L8</f>
        <v>3.3</v>
      </c>
      <c r="N8" s="28">
        <f>+basedata_walking!M8</f>
        <v>3.5</v>
      </c>
      <c r="O8" s="28">
        <f>+basedata_walking!N8</f>
        <v>2</v>
      </c>
      <c r="P8" s="28">
        <f>+basedata_walking!O8</f>
        <v>3.2</v>
      </c>
      <c r="Q8" s="28">
        <f>+basedata_walking!P8</f>
        <v>20.2</v>
      </c>
      <c r="R8" s="13"/>
    </row>
    <row r="9" spans="1:18" ht="11.25">
      <c r="A9" s="121">
        <v>1995</v>
      </c>
      <c r="B9" s="7">
        <f>+basedata_walking!Q9</f>
        <v>139.7</v>
      </c>
      <c r="C9" s="28">
        <f>+basedata_walking!B9</f>
        <v>3.8</v>
      </c>
      <c r="D9" s="28">
        <f>+basedata_walking!C9</f>
        <v>2.2</v>
      </c>
      <c r="E9" s="28">
        <f>+basedata_walking!D9</f>
        <v>30.4</v>
      </c>
      <c r="F9" s="28">
        <f>+basedata_walking!E9</f>
        <v>3.9</v>
      </c>
      <c r="G9" s="28">
        <f>+basedata_walking!F9</f>
        <v>13.8</v>
      </c>
      <c r="H9" s="28">
        <f>+basedata_walking!G9</f>
        <v>22.5</v>
      </c>
      <c r="I9" s="28">
        <f>+basedata_walking!H9</f>
        <v>1.3</v>
      </c>
      <c r="J9" s="28">
        <f>+basedata_walking!I9</f>
        <v>23.2</v>
      </c>
      <c r="K9" s="28">
        <f>+basedata_walking!J9</f>
        <v>0.2</v>
      </c>
      <c r="L9" s="28">
        <f>+basedata_walking!K9</f>
        <v>5.8</v>
      </c>
      <c r="M9" s="28">
        <f>+basedata_walking!L9</f>
        <v>3.3</v>
      </c>
      <c r="N9" s="28">
        <f>+basedata_walking!M9</f>
        <v>3.5</v>
      </c>
      <c r="O9" s="28">
        <f>+basedata_walking!N9</f>
        <v>2</v>
      </c>
      <c r="P9" s="28">
        <f>+basedata_walking!O9</f>
        <v>3.3</v>
      </c>
      <c r="Q9" s="28">
        <f>+basedata_walking!P9</f>
        <v>20.5</v>
      </c>
      <c r="R9" s="13"/>
    </row>
    <row r="10" spans="1:18" ht="11.25">
      <c r="A10" s="121">
        <v>1996</v>
      </c>
      <c r="B10" s="7">
        <f>+basedata_walking!Q10</f>
        <v>139.5</v>
      </c>
      <c r="C10" s="28">
        <f>+basedata_walking!B10</f>
        <v>3.7</v>
      </c>
      <c r="D10" s="28">
        <f>+basedata_walking!C10</f>
        <v>2.3</v>
      </c>
      <c r="E10" s="28">
        <f>+basedata_walking!D10</f>
        <v>30.2</v>
      </c>
      <c r="F10" s="28">
        <f>+basedata_walking!E10</f>
        <v>3.9</v>
      </c>
      <c r="G10" s="28">
        <f>+basedata_walking!F10</f>
        <v>13.6</v>
      </c>
      <c r="H10" s="28">
        <f>+basedata_walking!G10</f>
        <v>22.6</v>
      </c>
      <c r="I10" s="28">
        <f>+basedata_walking!H10</f>
        <v>1.3</v>
      </c>
      <c r="J10" s="28">
        <f>+basedata_walking!I10</f>
        <v>23.2</v>
      </c>
      <c r="K10" s="28">
        <f>+basedata_walking!J10</f>
        <v>0.2</v>
      </c>
      <c r="L10" s="28">
        <f>+basedata_walking!K10</f>
        <v>5.8</v>
      </c>
      <c r="M10" s="28">
        <f>+basedata_walking!L10</f>
        <v>3.4</v>
      </c>
      <c r="N10" s="28">
        <f>+basedata_walking!M10</f>
        <v>3.5</v>
      </c>
      <c r="O10" s="28">
        <f>+basedata_walking!N10</f>
        <v>2</v>
      </c>
      <c r="P10" s="28">
        <f>+basedata_walking!O10</f>
        <v>3.3</v>
      </c>
      <c r="Q10" s="28">
        <f>+basedata_walking!P10</f>
        <v>20.5</v>
      </c>
      <c r="R10" s="13"/>
    </row>
    <row r="11" spans="1:18" ht="11.25">
      <c r="A11" s="121">
        <v>1997</v>
      </c>
      <c r="B11" s="7">
        <f>+basedata_walking!Q11</f>
        <v>141</v>
      </c>
      <c r="C11" s="28">
        <f>+basedata_walking!B11</f>
        <v>3.8</v>
      </c>
      <c r="D11" s="28">
        <f>+basedata_walking!C11</f>
        <v>2.3</v>
      </c>
      <c r="E11" s="28">
        <f>+basedata_walking!D11</f>
        <v>30.3</v>
      </c>
      <c r="F11" s="28">
        <f>+basedata_walking!E11</f>
        <v>4</v>
      </c>
      <c r="G11" s="28">
        <f>+basedata_walking!F11</f>
        <v>14.1</v>
      </c>
      <c r="H11" s="28">
        <f>+basedata_walking!G11</f>
        <v>23</v>
      </c>
      <c r="I11" s="28">
        <f>+basedata_walking!H11</f>
        <v>1.3</v>
      </c>
      <c r="J11" s="28">
        <f>+basedata_walking!I11</f>
        <v>23.3</v>
      </c>
      <c r="K11" s="28">
        <f>+basedata_walking!J11</f>
        <v>0.2</v>
      </c>
      <c r="L11" s="28">
        <f>+basedata_walking!K11</f>
        <v>5.8</v>
      </c>
      <c r="M11" s="28">
        <f>+basedata_walking!L11</f>
        <v>3.4</v>
      </c>
      <c r="N11" s="28">
        <f>+basedata_walking!M11</f>
        <v>3.5</v>
      </c>
      <c r="O11" s="28">
        <f>+basedata_walking!N11</f>
        <v>2</v>
      </c>
      <c r="P11" s="28">
        <f>+basedata_walking!O11</f>
        <v>3.3</v>
      </c>
      <c r="Q11" s="28">
        <f>+basedata_walking!P11</f>
        <v>20.7</v>
      </c>
      <c r="R11" s="13"/>
    </row>
    <row r="12" spans="1:18" ht="11.25">
      <c r="A12" s="121">
        <v>1998</v>
      </c>
      <c r="B12" s="7">
        <f>+basedata_walking!Q12</f>
        <v>142.20000000000002</v>
      </c>
      <c r="C12" s="28">
        <f>+basedata_walking!B12</f>
        <v>3.8</v>
      </c>
      <c r="D12" s="28">
        <f>+basedata_walking!C12</f>
        <v>2.3</v>
      </c>
      <c r="E12" s="28">
        <f>+basedata_walking!D12</f>
        <v>30.4</v>
      </c>
      <c r="F12" s="28">
        <f>+basedata_walking!E12</f>
        <v>4</v>
      </c>
      <c r="G12" s="28">
        <f>+basedata_walking!F12</f>
        <v>14.4</v>
      </c>
      <c r="H12" s="28">
        <f>+basedata_walking!G12</f>
        <v>23.3</v>
      </c>
      <c r="I12" s="28">
        <f>+basedata_walking!H12</f>
        <v>1.4</v>
      </c>
      <c r="J12" s="28">
        <f>+basedata_walking!I12</f>
        <v>23.3</v>
      </c>
      <c r="K12" s="28">
        <f>+basedata_walking!J12</f>
        <v>0.2</v>
      </c>
      <c r="L12" s="28">
        <f>+basedata_walking!K12</f>
        <v>5.9</v>
      </c>
      <c r="M12" s="28">
        <f>+basedata_walking!L12</f>
        <v>3.4</v>
      </c>
      <c r="N12" s="28">
        <f>+basedata_walking!M12</f>
        <v>3.5</v>
      </c>
      <c r="O12" s="28">
        <f>+basedata_walking!N12</f>
        <v>2</v>
      </c>
      <c r="P12" s="28">
        <f>+basedata_walking!O12</f>
        <v>3.4</v>
      </c>
      <c r="Q12" s="28">
        <f>+basedata_walking!P12</f>
        <v>20.9</v>
      </c>
      <c r="R12" s="13"/>
    </row>
    <row r="13" spans="1:18" ht="11.25">
      <c r="A13" s="121">
        <v>1999</v>
      </c>
      <c r="B13" s="7">
        <f>+basedata_walking!Q13</f>
        <v>142.90000000000003</v>
      </c>
      <c r="C13" s="28">
        <f>+basedata_walking!B13</f>
        <v>3.8</v>
      </c>
      <c r="D13" s="28">
        <f>+basedata_walking!C13</f>
        <v>2.3</v>
      </c>
      <c r="E13" s="28">
        <f>+basedata_walking!D13</f>
        <v>30.4</v>
      </c>
      <c r="F13" s="28">
        <f>+basedata_walking!E13</f>
        <v>4.1</v>
      </c>
      <c r="G13" s="28">
        <f>+basedata_walking!F13</f>
        <v>14.5</v>
      </c>
      <c r="H13" s="28">
        <f>+basedata_walking!G13</f>
        <v>23.5</v>
      </c>
      <c r="I13" s="28">
        <f>+basedata_walking!H13</f>
        <v>1.4</v>
      </c>
      <c r="J13" s="28">
        <f>+basedata_walking!I13</f>
        <v>23.5</v>
      </c>
      <c r="K13" s="28">
        <f>+basedata_walking!J13</f>
        <v>0.2</v>
      </c>
      <c r="L13" s="28">
        <f>+basedata_walking!K13</f>
        <v>5.9</v>
      </c>
      <c r="M13" s="28">
        <f>+basedata_walking!L13</f>
        <v>3.4</v>
      </c>
      <c r="N13" s="28">
        <f>+basedata_walking!M13</f>
        <v>3.5</v>
      </c>
      <c r="O13" s="28">
        <f>+basedata_walking!N13</f>
        <v>2</v>
      </c>
      <c r="P13" s="28">
        <f>+basedata_walking!O13</f>
        <v>3.4</v>
      </c>
      <c r="Q13" s="28">
        <f>+basedata_walking!P13</f>
        <v>21</v>
      </c>
      <c r="R13" s="13"/>
    </row>
    <row r="14" spans="1:18" ht="11.25">
      <c r="A14" s="121">
        <v>2000</v>
      </c>
      <c r="B14" s="7">
        <f>+basedata_walking!Q14</f>
        <v>144.20000000000002</v>
      </c>
      <c r="C14" s="28">
        <f>+basedata_walking!B14</f>
        <v>3.9</v>
      </c>
      <c r="D14" s="28">
        <f>+basedata_walking!C14</f>
        <v>2.3</v>
      </c>
      <c r="E14" s="28">
        <f>+basedata_walking!D14</f>
        <v>30.6</v>
      </c>
      <c r="F14" s="28">
        <f>+basedata_walking!E14</f>
        <v>4.1</v>
      </c>
      <c r="G14" s="28">
        <f>+basedata_walking!F14</f>
        <v>14.7</v>
      </c>
      <c r="H14" s="28">
        <f>+basedata_walking!G14</f>
        <v>23.8</v>
      </c>
      <c r="I14" s="28">
        <f>+basedata_walking!H14</f>
        <v>1.4</v>
      </c>
      <c r="J14" s="28">
        <f>+basedata_walking!I14</f>
        <v>23.7</v>
      </c>
      <c r="K14" s="28">
        <f>+basedata_walking!J14</f>
        <v>0.2</v>
      </c>
      <c r="L14" s="28">
        <f>+basedata_walking!K14</f>
        <v>6</v>
      </c>
      <c r="M14" s="28">
        <f>+basedata_walking!L14</f>
        <v>3.4</v>
      </c>
      <c r="N14" s="28">
        <f>+basedata_walking!M14</f>
        <v>3.5</v>
      </c>
      <c r="O14" s="28">
        <f>+basedata_walking!N14</f>
        <v>2</v>
      </c>
      <c r="P14" s="28">
        <f>+basedata_walking!O14</f>
        <v>3.4</v>
      </c>
      <c r="Q14" s="28">
        <f>+basedata_walking!P14</f>
        <v>21.2</v>
      </c>
      <c r="R14" s="6"/>
    </row>
    <row r="15" spans="1:18" ht="11.25">
      <c r="A15" s="121">
        <v>2001</v>
      </c>
      <c r="B15" s="7">
        <f>+basedata_walking!Q15</f>
        <v>0</v>
      </c>
      <c r="C15" s="28">
        <f>+basedata_walking!B15</f>
        <v>0</v>
      </c>
      <c r="D15" s="28">
        <f>+basedata_walking!C15</f>
        <v>0</v>
      </c>
      <c r="E15" s="28">
        <f>+basedata_walking!D15</f>
        <v>0</v>
      </c>
      <c r="F15" s="28">
        <f>+basedata_walking!E15</f>
        <v>0</v>
      </c>
      <c r="G15" s="28">
        <f>+basedata_walking!F15</f>
        <v>0</v>
      </c>
      <c r="H15" s="28">
        <f>+basedata_walking!G15</f>
        <v>0</v>
      </c>
      <c r="I15" s="28">
        <f>+basedata_walking!H15</f>
        <v>0</v>
      </c>
      <c r="J15" s="28">
        <f>+basedata_walking!I15</f>
        <v>0</v>
      </c>
      <c r="K15" s="28">
        <f>+basedata_walking!J15</f>
        <v>0</v>
      </c>
      <c r="L15" s="28">
        <f>+basedata_walking!K15</f>
        <v>0</v>
      </c>
      <c r="M15" s="28">
        <f>+basedata_walking!L15</f>
        <v>0</v>
      </c>
      <c r="N15" s="28">
        <f>+basedata_walking!M15</f>
        <v>0</v>
      </c>
      <c r="O15" s="28">
        <f>+basedata_walking!N15</f>
        <v>0</v>
      </c>
      <c r="P15" s="28">
        <f>+basedata_walking!O15</f>
        <v>0</v>
      </c>
      <c r="Q15" s="28">
        <f>+basedata_walking!P15</f>
        <v>0</v>
      </c>
      <c r="R15" s="6"/>
    </row>
    <row r="16" spans="1:18" ht="11.25">
      <c r="A16" s="3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3"/>
    </row>
    <row r="17" spans="1:17" ht="11.25">
      <c r="A17" s="7" t="s">
        <v>51</v>
      </c>
      <c r="B17" s="7" t="s">
        <v>215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25" s="6" customFormat="1" ht="11.25"/>
    <row r="26" s="6" customFormat="1" ht="11.25"/>
    <row r="29" ht="11.25">
      <c r="B29" s="30"/>
    </row>
    <row r="31" ht="11.25">
      <c r="A31" s="7" t="s">
        <v>104</v>
      </c>
    </row>
    <row r="32" ht="11.25">
      <c r="B32" s="79">
        <f>POWER((B13/C6),(1/($A13-A6)))-1</f>
        <v>0.6853498708803478</v>
      </c>
    </row>
    <row r="33" ht="11.25">
      <c r="B33" s="79"/>
    </row>
    <row r="34" spans="1:17" ht="11.25">
      <c r="A34" s="2" t="s">
        <v>110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1.25">
      <c r="A35" s="57" t="s">
        <v>95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1.25">
      <c r="A36" s="5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>
        <v>1990</v>
      </c>
      <c r="B38" s="13" t="e">
        <f>+#REF!/'[4]manip_POP_EU'!B5*1000000</f>
        <v>#REF!</v>
      </c>
      <c r="C38" s="13" t="e">
        <f>+#REF!/'[4]manip_POP_EU'!C5*1000000</f>
        <v>#REF!</v>
      </c>
      <c r="D38" s="13" t="e">
        <f>+#REF!/'[4]manip_POP_EU'!D5*1000000</f>
        <v>#REF!</v>
      </c>
      <c r="E38" s="13" t="e">
        <f>+#REF!/'[4]manip_POP_EU'!E5*1000000</f>
        <v>#REF!</v>
      </c>
      <c r="F38" s="13" t="e">
        <f>+#REF!/'[4]manip_POP_EU'!F5*1000000</f>
        <v>#REF!</v>
      </c>
      <c r="G38" s="13" t="e">
        <f>+#REF!/'[4]manip_POP_EU'!G5*1000000</f>
        <v>#REF!</v>
      </c>
      <c r="H38" s="13" t="e">
        <f>+#REF!/'[4]manip_POP_EU'!H5*1000000</f>
        <v>#REF!</v>
      </c>
      <c r="I38" s="13" t="e">
        <f>+#REF!/'[4]manip_POP_EU'!I5*1000000</f>
        <v>#REF!</v>
      </c>
      <c r="J38" s="13" t="e">
        <f>+#REF!/'[4]manip_POP_EU'!J5*1000000</f>
        <v>#REF!</v>
      </c>
      <c r="K38" s="13" t="e">
        <f>+#REF!/'[4]manip_POP_EU'!K5*1000000</f>
        <v>#REF!</v>
      </c>
      <c r="L38" s="13" t="e">
        <f>+#REF!/'[4]manip_POP_EU'!L5*1000000</f>
        <v>#REF!</v>
      </c>
      <c r="M38" s="13" t="e">
        <f>+#REF!/'[4]manip_POP_EU'!M5*1000000</f>
        <v>#REF!</v>
      </c>
      <c r="N38" s="13" t="e">
        <f>+#REF!/'[4]manip_POP_EU'!N5*1000000</f>
        <v>#REF!</v>
      </c>
      <c r="O38" s="13" t="e">
        <f>+#REF!/'[4]manip_POP_EU'!O5*1000000</f>
        <v>#REF!</v>
      </c>
      <c r="P38" s="13" t="e">
        <f>+#REF!/'[4]manip_POP_EU'!P5*1000000</f>
        <v>#REF!</v>
      </c>
      <c r="Q38" s="13" t="e">
        <f>+#REF!/'[4]manip_POP_EU'!Q5*1000000</f>
        <v>#REF!</v>
      </c>
    </row>
    <row r="39" spans="1:17" ht="11.25">
      <c r="A39" s="53">
        <v>1991</v>
      </c>
      <c r="B39" s="13" t="e">
        <f>+B5/'[4]manip_POP_EU'!B6*1000000</f>
        <v>#N/A</v>
      </c>
      <c r="C39" s="13" t="e">
        <f>+C5/'[4]manip_POP_EU'!C6*1000000</f>
        <v>#N/A</v>
      </c>
      <c r="D39" s="13" t="e">
        <f>+D5/'[4]manip_POP_EU'!D6*1000000</f>
        <v>#N/A</v>
      </c>
      <c r="E39" s="13" t="e">
        <f>+E5/'[4]manip_POP_EU'!E6*1000000</f>
        <v>#N/A</v>
      </c>
      <c r="F39" s="13" t="e">
        <f>+F5/'[4]manip_POP_EU'!F6*1000000</f>
        <v>#N/A</v>
      </c>
      <c r="G39" s="13" t="e">
        <f>+G5/'[4]manip_POP_EU'!G6*1000000</f>
        <v>#N/A</v>
      </c>
      <c r="H39" s="13" t="e">
        <f>+H5/'[4]manip_POP_EU'!H6*1000000</f>
        <v>#N/A</v>
      </c>
      <c r="I39" s="13" t="e">
        <f>+I5/'[4]manip_POP_EU'!I6*1000000</f>
        <v>#N/A</v>
      </c>
      <c r="J39" s="13" t="e">
        <f>+J5/'[4]manip_POP_EU'!J6*1000000</f>
        <v>#N/A</v>
      </c>
      <c r="K39" s="13" t="e">
        <f>+K5/'[4]manip_POP_EU'!K6*1000000</f>
        <v>#N/A</v>
      </c>
      <c r="L39" s="13" t="e">
        <f>+L5/'[4]manip_POP_EU'!L6*1000000</f>
        <v>#N/A</v>
      </c>
      <c r="M39" s="13" t="e">
        <f>+M5/'[4]manip_POP_EU'!M6*1000000</f>
        <v>#N/A</v>
      </c>
      <c r="N39" s="13" t="e">
        <f>+N5/'[4]manip_POP_EU'!N6*1000000</f>
        <v>#N/A</v>
      </c>
      <c r="O39" s="13" t="e">
        <f>+O5/'[4]manip_POP_EU'!O6*1000000</f>
        <v>#N/A</v>
      </c>
      <c r="P39" s="13" t="e">
        <f>+P5/'[4]manip_POP_EU'!P6*1000000</f>
        <v>#N/A</v>
      </c>
      <c r="Q39" s="13" t="e">
        <f>+Q5/'[4]manip_POP_EU'!Q6*1000000</f>
        <v>#N/A</v>
      </c>
    </row>
    <row r="40" spans="1:17" ht="11.25">
      <c r="A40" s="53">
        <v>1992</v>
      </c>
      <c r="B40" s="13">
        <f>+C6/'[4]manip_POP_EU'!B7*1000000</f>
        <v>10.05756460694086</v>
      </c>
      <c r="C40" s="13" t="e">
        <f>+#REF!/'[4]manip_POP_EU'!C7*1000000</f>
        <v>#REF!</v>
      </c>
      <c r="D40" s="13">
        <f>+D6/'[4]manip_POP_EU'!D7*1000000</f>
        <v>406.18955512572535</v>
      </c>
      <c r="E40" s="13">
        <f>+E6/'[4]manip_POP_EU'!E7*1000000</f>
        <v>369.6169874975194</v>
      </c>
      <c r="F40" s="13">
        <f>+F6/'[4]manip_POP_EU'!F7*1000000</f>
        <v>368.14570819608605</v>
      </c>
      <c r="G40" s="13">
        <f>+G6/'[4]manip_POP_EU'!G7*1000000</f>
        <v>346.1005999077065</v>
      </c>
      <c r="H40" s="13">
        <f>+H6/'[4]manip_POP_EU'!H7*1000000</f>
        <v>391.31900709789784</v>
      </c>
      <c r="I40" s="13">
        <f>+I6/'[4]manip_POP_EU'!I7*1000000</f>
        <v>338.11388802795074</v>
      </c>
      <c r="J40" s="13">
        <f>+J6/'[4]manip_POP_EU'!J7*1000000</f>
        <v>400.9919273993563</v>
      </c>
      <c r="K40" s="13">
        <f>+K6/'[4]manip_POP_EU'!K7*1000000</f>
        <v>509.5541401273886</v>
      </c>
      <c r="L40" s="13">
        <f>+L6/'[4]manip_POP_EU'!L7*1000000</f>
        <v>375.54354987481884</v>
      </c>
      <c r="M40" s="13">
        <f>+M6/'[4]manip_POP_EU'!M7*1000000</f>
        <v>404.4796116995728</v>
      </c>
      <c r="N40" s="13">
        <f>+N6/'[4]manip_POP_EU'!N7*1000000</f>
        <v>354.7177460220939</v>
      </c>
      <c r="O40" s="13">
        <f>+O6/'[4]manip_POP_EU'!O7*1000000</f>
        <v>396.6679888932963</v>
      </c>
      <c r="P40" s="13">
        <f>+P6/'[4]manip_POP_EU'!P7*1000000</f>
        <v>369.173973234887</v>
      </c>
      <c r="Q40" s="13">
        <f>+Q6/'[4]manip_POP_EU'!Q7*1000000</f>
        <v>348.23983725821466</v>
      </c>
    </row>
    <row r="41" spans="1:17" ht="11.25">
      <c r="A41" s="53">
        <v>1993</v>
      </c>
      <c r="B41" s="13">
        <f>+B7/'[4]manip_POP_EU'!B8*1000000</f>
        <v>371.58865109260057</v>
      </c>
      <c r="C41" s="13">
        <f>+C7/'[4]manip_POP_EU'!C8*1000000</f>
        <v>366.89969755565477</v>
      </c>
      <c r="D41" s="13">
        <f>+D7/'[4]manip_POP_EU'!D8*1000000</f>
        <v>404.7022547697052</v>
      </c>
      <c r="E41" s="13">
        <f>+E7/'[4]manip_POP_EU'!E8*1000000</f>
        <v>369.65843560550053</v>
      </c>
      <c r="F41" s="13">
        <f>+F7/'[4]manip_POP_EU'!F8*1000000</f>
        <v>366.15918288687607</v>
      </c>
      <c r="G41" s="13">
        <f>+G7/'[4]manip_POP_EU'!G8*1000000</f>
        <v>345.41872425351175</v>
      </c>
      <c r="H41" s="13">
        <f>+H7/'[4]manip_POP_EU'!H8*1000000</f>
        <v>388.0319125797162</v>
      </c>
      <c r="I41" s="13">
        <f>+I7/'[4]manip_POP_EU'!I8*1000000</f>
        <v>336.7664805096399</v>
      </c>
      <c r="J41" s="13">
        <f>+J7/'[4]manip_POP_EU'!J8*1000000</f>
        <v>396.1506774877737</v>
      </c>
      <c r="K41" s="13">
        <f>+K7/'[4]manip_POP_EU'!K8*1000000</f>
        <v>502.38633509168545</v>
      </c>
      <c r="L41" s="13">
        <f>+L7/'[4]manip_POP_EU'!L8*1000000</f>
        <v>373.0586225628473</v>
      </c>
      <c r="M41" s="13">
        <f>+M7/'[4]manip_POP_EU'!M8*1000000</f>
        <v>413.0938223696564</v>
      </c>
      <c r="N41" s="13">
        <f>+N7/'[4]manip_POP_EU'!N8*1000000</f>
        <v>354.21516040886553</v>
      </c>
      <c r="O41" s="13">
        <f>+O7/'[4]manip_POP_EU'!O8*1000000</f>
        <v>394.78878799842084</v>
      </c>
      <c r="P41" s="13">
        <f>+P7/'[4]manip_POP_EU'!P8*1000000</f>
        <v>367.0314041245154</v>
      </c>
      <c r="Q41" s="13">
        <f>+Q7/'[4]manip_POP_EU'!Q8*1000000</f>
        <v>347.132718117922</v>
      </c>
    </row>
    <row r="42" spans="1:17" ht="11.25">
      <c r="A42" s="53">
        <v>1994</v>
      </c>
      <c r="B42" s="13">
        <f>+B8/'[4]manip_POP_EU'!B9*1000000</f>
        <v>371.42269972082335</v>
      </c>
      <c r="C42" s="13">
        <f>+C8/'[4]manip_POP_EU'!C9*1000000</f>
        <v>365.7716793862944</v>
      </c>
      <c r="D42" s="13">
        <f>+D8/'[4]manip_POP_EU'!D9*1000000</f>
        <v>422.6705091258406</v>
      </c>
      <c r="E42" s="13">
        <f>+E8/'[4]manip_POP_EU'!E9*1000000</f>
        <v>366.7991559939153</v>
      </c>
      <c r="F42" s="13">
        <f>+F8/'[4]manip_POP_EU'!F9*1000000</f>
        <v>364.4734318051026</v>
      </c>
      <c r="G42" s="13">
        <f>+G8/'[4]manip_POP_EU'!G9*1000000</f>
        <v>347.4439874307028</v>
      </c>
      <c r="H42" s="13">
        <f>+H8/'[4]manip_POP_EU'!H9*1000000</f>
        <v>390.210401448461</v>
      </c>
      <c r="I42" s="13">
        <f>+I8/'[4]manip_POP_EU'!I9*1000000</f>
        <v>364.07427115131486</v>
      </c>
      <c r="J42" s="13">
        <f>+J8/'[4]manip_POP_EU'!J9*1000000</f>
        <v>395.6582633053222</v>
      </c>
      <c r="K42" s="13">
        <f>+K8/'[4]manip_POP_EU'!K9*1000000</f>
        <v>495.2947003467063</v>
      </c>
      <c r="L42" s="13">
        <f>+L8/'[4]manip_POP_EU'!L9*1000000</f>
        <v>370.58395579518543</v>
      </c>
      <c r="M42" s="13">
        <f>+M8/'[4]manip_POP_EU'!M9*1000000</f>
        <v>411.0868888196823</v>
      </c>
      <c r="N42" s="13">
        <f>+N8/'[4]manip_POP_EU'!N9*1000000</f>
        <v>353.4639466774389</v>
      </c>
      <c r="O42" s="13">
        <f>+O8/'[4]manip_POP_EU'!O9*1000000</f>
        <v>393.00451955197485</v>
      </c>
      <c r="P42" s="13">
        <f>+P8/'[4]manip_POP_EU'!P9*1000000</f>
        <v>364.4356372498776</v>
      </c>
      <c r="Q42" s="13">
        <f>+Q8/'[4]manip_POP_EU'!Q9*1000000</f>
        <v>345.9200273996061</v>
      </c>
    </row>
    <row r="43" spans="1:17" ht="11.25">
      <c r="A43" s="53">
        <v>1995</v>
      </c>
      <c r="B43" s="13">
        <f>+B9/'[4]manip_POP_EU'!B10*1000000</f>
        <v>375.82728409233675</v>
      </c>
      <c r="C43" s="13">
        <f>+C9/'[4]manip_POP_EU'!C10*1000000</f>
        <v>374.87175439981064</v>
      </c>
      <c r="D43" s="13">
        <f>+D9/'[4]manip_POP_EU'!D10*1000000</f>
        <v>420.81101759755165</v>
      </c>
      <c r="E43" s="13">
        <f>+E9/'[4]manip_POP_EU'!E10*1000000</f>
        <v>372.35736508169816</v>
      </c>
      <c r="F43" s="13">
        <f>+F9/'[4]manip_POP_EU'!F10*1000000</f>
        <v>372.92025243832467</v>
      </c>
      <c r="G43" s="13">
        <f>+G9/'[4]manip_POP_EU'!G10*1000000</f>
        <v>351.9510328997705</v>
      </c>
      <c r="H43" s="13">
        <f>+H9/'[4]manip_POP_EU'!H10*1000000</f>
        <v>388.977249152894</v>
      </c>
      <c r="I43" s="13">
        <f>+I9/'[4]manip_POP_EU'!I10*1000000</f>
        <v>360.91060521932263</v>
      </c>
      <c r="J43" s="13">
        <f>+J9/'[4]manip_POP_EU'!J10*1000000</f>
        <v>405.56604433256416</v>
      </c>
      <c r="K43" s="13">
        <f>+K9/'[4]manip_POP_EU'!K10*1000000</f>
        <v>488.4004884004884</v>
      </c>
      <c r="L43" s="13">
        <f>+L9/'[4]manip_POP_EU'!L10*1000000</f>
        <v>375.16170763260027</v>
      </c>
      <c r="M43" s="13">
        <f>+M9/'[4]manip_POP_EU'!M10*1000000</f>
        <v>410.0907170374052</v>
      </c>
      <c r="N43" s="13">
        <f>+N9/'[4]manip_POP_EU'!N10*1000000</f>
        <v>352.57378865719755</v>
      </c>
      <c r="O43" s="13">
        <f>+O9/'[4]manip_POP_EU'!O10*1000000</f>
        <v>391.54267815191855</v>
      </c>
      <c r="P43" s="13">
        <f>+P9/'[4]manip_POP_EU'!P10*1000000</f>
        <v>373.68361453968976</v>
      </c>
      <c r="Q43" s="13">
        <f>+Q9/'[4]manip_POP_EU'!Q10*1000000</f>
        <v>349.79353649796946</v>
      </c>
    </row>
    <row r="44" spans="1:17" ht="11.25">
      <c r="A44" s="53">
        <v>1996</v>
      </c>
      <c r="B44" s="13">
        <f>+B10/'[4]manip_POP_EU'!B11*1000000</f>
        <v>374.18761053287426</v>
      </c>
      <c r="C44" s="13">
        <f>+C10/'[4]manip_POP_EU'!C11*1000000</f>
        <v>364.2807915723147</v>
      </c>
      <c r="D44" s="13">
        <f>+D10/'[4]manip_POP_EU'!D11*1000000</f>
        <v>437.0961611554541</v>
      </c>
      <c r="E44" s="13">
        <f>+E10/'[4]manip_POP_EU'!E11*1000000</f>
        <v>368.68834847153045</v>
      </c>
      <c r="F44" s="13">
        <f>+F10/'[4]manip_POP_EU'!F11*1000000</f>
        <v>372.31503579952266</v>
      </c>
      <c r="G44" s="13">
        <f>+G10/'[4]manip_POP_EU'!G11*1000000</f>
        <v>346.3053547465478</v>
      </c>
      <c r="H44" s="13">
        <f>+H10/'[4]manip_POP_EU'!H11*1000000</f>
        <v>389.4805776720781</v>
      </c>
      <c r="I44" s="13">
        <f>+I10/'[4]manip_POP_EU'!I11*1000000</f>
        <v>357.9295154185022</v>
      </c>
      <c r="J44" s="13">
        <f>+J10/'[4]manip_POP_EU'!J11*1000000</f>
        <v>404.3220634367375</v>
      </c>
      <c r="K44" s="13">
        <f>+K10/'[4]manip_POP_EU'!K11*1000000</f>
        <v>481.2898568162676</v>
      </c>
      <c r="L44" s="13">
        <f>+L10/'[4]manip_POP_EU'!L11*1000000</f>
        <v>373.78359218921184</v>
      </c>
      <c r="M44" s="13">
        <f>+M10/'[4]manip_POP_EU'!M11*1000000</f>
        <v>421.8681562748545</v>
      </c>
      <c r="N44" s="13">
        <f>+N10/'[4]manip_POP_EU'!N11*1000000</f>
        <v>352.46727089627393</v>
      </c>
      <c r="O44" s="13">
        <f>+O10/'[4]manip_POP_EU'!O11*1000000</f>
        <v>390.2439024390244</v>
      </c>
      <c r="P44" s="13">
        <f>+P10/'[4]manip_POP_EU'!P11*1000000</f>
        <v>373.17652380413887</v>
      </c>
      <c r="Q44" s="13">
        <f>+Q10/'[4]manip_POP_EU'!Q11*1000000</f>
        <v>348.6275977007585</v>
      </c>
    </row>
    <row r="45" spans="1:17" ht="11.25">
      <c r="A45" s="53">
        <v>1997</v>
      </c>
      <c r="B45" s="13">
        <f>+B11/'[4]manip_POP_EU'!B12*1000000</f>
        <v>377.2058718487727</v>
      </c>
      <c r="C45" s="13">
        <f>+C11/'[4]manip_POP_EU'!C12*1000000</f>
        <v>373.2442785580984</v>
      </c>
      <c r="D45" s="13">
        <f>+D11/'[4]manip_POP_EU'!D12*1000000</f>
        <v>435.2581838000688</v>
      </c>
      <c r="E45" s="13">
        <f>+E11/'[4]manip_POP_EU'!E12*1000000</f>
        <v>369.19252842051395</v>
      </c>
      <c r="F45" s="13">
        <f>+F11/'[4]manip_POP_EU'!F12*1000000</f>
        <v>381.06125559683716</v>
      </c>
      <c r="G45" s="13">
        <f>+G11/'[4]manip_POP_EU'!G12*1000000</f>
        <v>358.5687765429901</v>
      </c>
      <c r="H45" s="13">
        <f>+H11/'[4]manip_POP_EU'!H12*1000000</f>
        <v>395.1346893897746</v>
      </c>
      <c r="I45" s="13">
        <f>+I11/'[4]manip_POP_EU'!I12*1000000</f>
        <v>354.2234332425068</v>
      </c>
      <c r="J45" s="13">
        <f>+J11/'[4]manip_POP_EU'!J12*1000000</f>
        <v>405.0553691566852</v>
      </c>
      <c r="K45" s="13">
        <f>+K11/'[4]manip_POP_EU'!K12*1000000</f>
        <v>474.49584816132864</v>
      </c>
      <c r="L45" s="13">
        <f>+L11/'[4]manip_POP_EU'!L12*1000000</f>
        <v>371.62811558915865</v>
      </c>
      <c r="M45" s="13">
        <f>+M11/'[4]manip_POP_EU'!M12*1000000</f>
        <v>421.19972547688474</v>
      </c>
      <c r="N45" s="13">
        <f>+N11/'[4]manip_POP_EU'!N12*1000000</f>
        <v>351.9356460532931</v>
      </c>
      <c r="O45" s="13">
        <f>+O11/'[4]manip_POP_EU'!O12*1000000</f>
        <v>389.1171709625202</v>
      </c>
      <c r="P45" s="13">
        <f>+P11/'[4]manip_POP_EU'!P12*1000000</f>
        <v>372.90495217776487</v>
      </c>
      <c r="Q45" s="13">
        <f>+Q11/'[4]manip_POP_EU'!Q12*1000000</f>
        <v>350.7939466860987</v>
      </c>
    </row>
    <row r="46" spans="1:17" ht="11.25">
      <c r="A46" s="53">
        <v>1998</v>
      </c>
      <c r="B46" s="13">
        <f>+B12/'[4]manip_POP_EU'!B13*1000000</f>
        <v>379.6395213284928</v>
      </c>
      <c r="C46" s="13">
        <f>+C12/'[4]manip_POP_EU'!C13*1000000</f>
        <v>372.43947858472995</v>
      </c>
      <c r="D46" s="13">
        <f>+D12/'[4]manip_POP_EU'!D13*1000000</f>
        <v>433.88039992454253</v>
      </c>
      <c r="E46" s="13">
        <f>+E12/'[4]manip_POP_EU'!E13*1000000</f>
        <v>370.5193364778724</v>
      </c>
      <c r="F46" s="13">
        <f>+F12/'[4]manip_POP_EU'!F13*1000000</f>
        <v>380.40893961008084</v>
      </c>
      <c r="G46" s="13">
        <f>+G12/'[4]manip_POP_EU'!G13*1000000</f>
        <v>365.7514414162709</v>
      </c>
      <c r="H46" s="13">
        <f>+H12/'[4]manip_POP_EU'!H13*1000000</f>
        <v>398.98626665296763</v>
      </c>
      <c r="I46" s="13">
        <f>+I12/'[4]manip_POP_EU'!I13*1000000</f>
        <v>377.1551724137931</v>
      </c>
      <c r="J46" s="13">
        <f>+J12/'[4]manip_POP_EU'!J13*1000000</f>
        <v>404.5981801764256</v>
      </c>
      <c r="K46" s="13">
        <f>+K12/'[4]manip_POP_EU'!K13*1000000</f>
        <v>468.82325363338026</v>
      </c>
      <c r="L46" s="13">
        <f>+L12/'[4]manip_POP_EU'!L13*1000000</f>
        <v>375.84405656771565</v>
      </c>
      <c r="M46" s="13">
        <f>+M12/'[4]manip_POP_EU'!M13*1000000</f>
        <v>420.872815948604</v>
      </c>
      <c r="N46" s="13">
        <f>+N12/'[4]manip_POP_EU'!N13*1000000</f>
        <v>351.12359550561797</v>
      </c>
      <c r="O46" s="13">
        <f>+O12/'[4]manip_POP_EU'!O13*1000000</f>
        <v>388.12342324859304</v>
      </c>
      <c r="P46" s="13">
        <f>+P12/'[4]manip_POP_EU'!P13*1000000</f>
        <v>384.10266838383154</v>
      </c>
      <c r="Q46" s="13">
        <f>+Q12/'[4]manip_POP_EU'!Q13*1000000</f>
        <v>352.7128512361826</v>
      </c>
    </row>
    <row r="47" spans="1:17" ht="11.25">
      <c r="A47" s="53">
        <v>1999</v>
      </c>
      <c r="B47" s="13">
        <f>+B13/'[4]manip_POP_EU'!B14*1000000</f>
        <v>380.6124184323483</v>
      </c>
      <c r="C47" s="13">
        <f>+C13/'[4]manip_POP_EU'!C14*1000000</f>
        <v>371.6017993350283</v>
      </c>
      <c r="D47" s="13">
        <f>+D13/'[4]manip_POP_EU'!D14*1000000</f>
        <v>432.41210753901106</v>
      </c>
      <c r="E47" s="13">
        <f>+E13/'[4]manip_POP_EU'!E14*1000000</f>
        <v>370.33878689682894</v>
      </c>
      <c r="F47" s="13">
        <f>+F13/'[4]manip_POP_EU'!F14*1000000</f>
        <v>389.0681343708483</v>
      </c>
      <c r="G47" s="13">
        <f>+G13/'[4]manip_POP_EU'!G14*1000000</f>
        <v>367.85225024100663</v>
      </c>
      <c r="H47" s="13">
        <f>+H13/'[4]manip_POP_EU'!H14*1000000</f>
        <v>400.88706925963834</v>
      </c>
      <c r="I47" s="13">
        <f>+I13/'[4]manip_POP_EU'!I14*1000000</f>
        <v>373.1343283582089</v>
      </c>
      <c r="J47" s="13">
        <f>+J13/'[4]manip_POP_EU'!J14*1000000</f>
        <v>407.66054886722407</v>
      </c>
      <c r="K47" s="13">
        <f>+K13/'[4]manip_POP_EU'!K14*1000000</f>
        <v>462.962962962963</v>
      </c>
      <c r="L47" s="13">
        <f>+L13/'[4]manip_POP_EU'!L14*1000000</f>
        <v>373.29958873774126</v>
      </c>
      <c r="M47" s="13">
        <f>+M13/'[4]manip_POP_EU'!M14*1000000</f>
        <v>420.1550866569866</v>
      </c>
      <c r="N47" s="13">
        <f>+N13/'[4]manip_POP_EU'!N14*1000000</f>
        <v>350.38542396636296</v>
      </c>
      <c r="O47" s="13">
        <f>+O13/'[4]manip_POP_EU'!O14*1000000</f>
        <v>387.2216844143272</v>
      </c>
      <c r="P47" s="13">
        <f>+P13/'[4]manip_POP_EU'!P14*1000000</f>
        <v>383.85982342448125</v>
      </c>
      <c r="Q47" s="13">
        <f>+Q13/'[4]manip_POP_EU'!Q14*1000000</f>
        <v>352.9358379453084</v>
      </c>
    </row>
    <row r="48" spans="2:17" ht="11.25">
      <c r="B48" s="13">
        <f>+B14/'[4]manip_POP_EU'!B15*1000000</f>
        <v>383.103550020279</v>
      </c>
      <c r="C48" s="13">
        <f>+C14/'[4]manip_POP_EU'!C15*1000000</f>
        <v>380.41357783847053</v>
      </c>
      <c r="D48" s="13">
        <f>+D14/'[4]manip_POP_EU'!D15*1000000</f>
        <v>431.03448275862064</v>
      </c>
      <c r="E48" s="13">
        <f>+E14/'[4]manip_POP_EU'!E15*1000000</f>
        <v>372.4893487522824</v>
      </c>
      <c r="F48" s="13">
        <f>+F14/'[4]manip_POP_EU'!F15*1000000</f>
        <v>388.2575757575757</v>
      </c>
      <c r="G48" s="13">
        <f>+G14/'[4]manip_POP_EU'!G15*1000000</f>
        <v>372.4819460281261</v>
      </c>
      <c r="H48" s="13">
        <f>+H14/'[4]manip_POP_EU'!H15*1000000</f>
        <v>404.12959315356926</v>
      </c>
      <c r="I48" s="13">
        <f>+I14/'[4]manip_POP_EU'!I15*1000000</f>
        <v>369.00369003690037</v>
      </c>
      <c r="J48" s="13">
        <f>+J14/'[4]manip_POP_EU'!J15*1000000</f>
        <v>410.8164326573063</v>
      </c>
      <c r="K48" s="13">
        <f>+K14/'[4]manip_POP_EU'!K15*1000000</f>
        <v>456.2043795620438</v>
      </c>
      <c r="L48" s="13">
        <f>+L14/'[4]manip_POP_EU'!L15*1000000</f>
        <v>376.9080972422891</v>
      </c>
      <c r="M48" s="13">
        <f>+M14/'[4]manip_POP_EU'!M15*1000000</f>
        <v>419.2231056047663</v>
      </c>
      <c r="N48" s="13">
        <f>+N14/'[4]manip_POP_EU'!N15*1000000</f>
        <v>349.72022382094326</v>
      </c>
      <c r="O48" s="13">
        <f>+O14/'[4]manip_POP_EU'!O15*1000000</f>
        <v>386.32412594166505</v>
      </c>
      <c r="P48" s="13">
        <f>+P14/'[4]manip_POP_EU'!P15*1000000</f>
        <v>383.35776299470064</v>
      </c>
      <c r="Q48" s="13">
        <f>+Q14/'[4]manip_POP_EU'!Q15*1000000</f>
        <v>354.87764254112477</v>
      </c>
    </row>
    <row r="49" ht="11.25">
      <c r="A49" s="7" t="s">
        <v>107</v>
      </c>
    </row>
    <row r="50" spans="2:17" ht="11.25">
      <c r="B50" s="88">
        <f>+B47/B40-1</f>
        <v>36.84339781120398</v>
      </c>
      <c r="C50" s="88" t="e">
        <f aca="true" t="shared" si="0" ref="C50:Q50">+C47/C40-1</f>
        <v>#REF!</v>
      </c>
      <c r="D50" s="88">
        <f t="shared" si="0"/>
        <v>0.0645574266555653</v>
      </c>
      <c r="E50" s="88">
        <f t="shared" si="0"/>
        <v>0.0019528306969776033</v>
      </c>
      <c r="F50" s="88">
        <f t="shared" si="0"/>
        <v>0.056831916572604335</v>
      </c>
      <c r="G50" s="88">
        <f t="shared" si="0"/>
        <v>0.06284776836301509</v>
      </c>
      <c r="H50" s="88">
        <f t="shared" si="0"/>
        <v>0.024450798423258924</v>
      </c>
      <c r="I50" s="88">
        <f t="shared" si="0"/>
        <v>0.10357587064676599</v>
      </c>
      <c r="J50" s="88">
        <f t="shared" si="0"/>
        <v>0.016630313510591854</v>
      </c>
      <c r="K50" s="88">
        <f t="shared" si="0"/>
        <v>-0.09143518518518523</v>
      </c>
      <c r="L50" s="88">
        <f t="shared" si="0"/>
        <v>-0.0059752354629059035</v>
      </c>
      <c r="M50" s="88">
        <f t="shared" si="0"/>
        <v>0.03875467268065114</v>
      </c>
      <c r="N50" s="88">
        <f t="shared" si="0"/>
        <v>-0.012213434778256316</v>
      </c>
      <c r="O50" s="88">
        <f t="shared" si="0"/>
        <v>-0.02381413359148099</v>
      </c>
      <c r="P50" s="88">
        <f t="shared" si="0"/>
        <v>0.03978029670106342</v>
      </c>
      <c r="Q50" s="88">
        <f t="shared" si="0"/>
        <v>0.013484961180968202</v>
      </c>
    </row>
    <row r="51" ht="11.25">
      <c r="A51" s="7" t="s">
        <v>171</v>
      </c>
    </row>
    <row r="52" spans="2:17" ht="11.25">
      <c r="B52" s="123">
        <f>+B47/365</f>
        <v>1.0427737491297213</v>
      </c>
      <c r="C52" s="123">
        <f aca="true" t="shared" si="1" ref="C52:Q52">+C47/365</f>
        <v>1.018087121465831</v>
      </c>
      <c r="D52" s="123">
        <f t="shared" si="1"/>
        <v>1.1846907055863316</v>
      </c>
      <c r="E52" s="123">
        <f t="shared" si="1"/>
        <v>1.0146268134159697</v>
      </c>
      <c r="F52" s="123">
        <f t="shared" si="1"/>
        <v>1.0659400941667077</v>
      </c>
      <c r="G52" s="123">
        <f t="shared" si="1"/>
        <v>1.007814384221936</v>
      </c>
      <c r="H52" s="123">
        <f t="shared" si="1"/>
        <v>1.0983207376976394</v>
      </c>
      <c r="I52" s="123">
        <f t="shared" si="1"/>
        <v>1.0222858311183805</v>
      </c>
      <c r="J52" s="123">
        <f t="shared" si="1"/>
        <v>1.1168782160745865</v>
      </c>
      <c r="K52" s="123">
        <f t="shared" si="1"/>
        <v>1.2683916793505836</v>
      </c>
      <c r="L52" s="123">
        <f t="shared" si="1"/>
        <v>1.0227385992814828</v>
      </c>
      <c r="M52" s="123">
        <f t="shared" si="1"/>
        <v>1.1511098264574975</v>
      </c>
      <c r="N52" s="123">
        <f t="shared" si="1"/>
        <v>0.9599600656612683</v>
      </c>
      <c r="O52" s="123">
        <f t="shared" si="1"/>
        <v>1.0608813271625404</v>
      </c>
      <c r="P52" s="123">
        <f t="shared" si="1"/>
        <v>1.0516707491081678</v>
      </c>
      <c r="Q52" s="123">
        <f t="shared" si="1"/>
        <v>0.9669475012200229</v>
      </c>
    </row>
  </sheetData>
  <conditionalFormatting sqref="C6:Q15">
    <cfRule type="cellIs" priority="1" dxfId="2" operator="notEqual" stopIfTrue="1">
      <formula>SUM($C6:$Q6)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S19"/>
  <sheetViews>
    <sheetView workbookViewId="0" topLeftCell="A1">
      <selection activeCell="A16" sqref="A16:Q17"/>
    </sheetView>
  </sheetViews>
  <sheetFormatPr defaultColWidth="9.140625" defaultRowHeight="12.75"/>
  <cols>
    <col min="1" max="1" width="17.421875" style="3" customWidth="1"/>
    <col min="2" max="16" width="6.8515625" style="3" customWidth="1"/>
    <col min="17" max="17" width="7.421875" style="3" customWidth="1"/>
    <col min="18" max="18" width="6.8515625" style="3" customWidth="1"/>
    <col min="19" max="19" width="5.7109375" style="3" customWidth="1"/>
    <col min="20" max="16384" width="9.140625" style="3" customWidth="1"/>
  </cols>
  <sheetData>
    <row r="1" spans="1:18" ht="18">
      <c r="A1" s="231" t="s">
        <v>200</v>
      </c>
      <c r="Q1" s="216"/>
      <c r="R1" s="232" t="s">
        <v>220</v>
      </c>
    </row>
    <row r="2" spans="1:18" ht="18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9" ht="12.75">
      <c r="A3" s="276" t="s">
        <v>191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91"/>
    </row>
    <row r="4" spans="1:18" ht="16.5">
      <c r="A4" s="174"/>
      <c r="B4" s="175" t="s">
        <v>66</v>
      </c>
      <c r="C4" s="175" t="s">
        <v>67</v>
      </c>
      <c r="D4" s="175" t="s">
        <v>68</v>
      </c>
      <c r="E4" s="175" t="s">
        <v>10</v>
      </c>
      <c r="F4" s="175" t="s">
        <v>69</v>
      </c>
      <c r="G4" s="175" t="s">
        <v>70</v>
      </c>
      <c r="H4" s="175" t="s">
        <v>71</v>
      </c>
      <c r="I4" s="175" t="s">
        <v>72</v>
      </c>
      <c r="J4" s="175" t="s">
        <v>73</v>
      </c>
      <c r="K4" s="175" t="s">
        <v>74</v>
      </c>
      <c r="L4" s="175" t="s">
        <v>75</v>
      </c>
      <c r="M4" s="175" t="s">
        <v>76</v>
      </c>
      <c r="N4" s="175" t="s">
        <v>77</v>
      </c>
      <c r="O4" s="175" t="s">
        <v>78</v>
      </c>
      <c r="P4" s="175" t="s">
        <v>79</v>
      </c>
      <c r="Q4" s="176" t="s">
        <v>114</v>
      </c>
      <c r="R4" s="221" t="s">
        <v>216</v>
      </c>
    </row>
    <row r="5" spans="1:18" ht="11.25" customHeight="1">
      <c r="A5" s="174"/>
      <c r="B5" s="177"/>
      <c r="C5" s="177"/>
      <c r="D5" s="177"/>
      <c r="E5" s="177"/>
      <c r="F5" s="177"/>
      <c r="G5" s="178"/>
      <c r="H5" s="177"/>
      <c r="I5" s="177"/>
      <c r="J5" s="177"/>
      <c r="K5" s="177"/>
      <c r="L5" s="177"/>
      <c r="M5" s="177"/>
      <c r="N5" s="177"/>
      <c r="O5" s="177"/>
      <c r="P5" s="177"/>
      <c r="Q5" s="179"/>
      <c r="R5" s="223"/>
    </row>
    <row r="6" spans="1:19" ht="11.25">
      <c r="A6" s="180">
        <v>1992</v>
      </c>
      <c r="B6" s="277">
        <v>3.7</v>
      </c>
      <c r="C6" s="278">
        <v>2.1</v>
      </c>
      <c r="D6" s="279">
        <v>29.8</v>
      </c>
      <c r="E6" s="279">
        <v>3.8</v>
      </c>
      <c r="F6" s="279">
        <v>13.5</v>
      </c>
      <c r="G6" s="279">
        <v>22.4</v>
      </c>
      <c r="H6" s="278">
        <v>1.2</v>
      </c>
      <c r="I6" s="279">
        <v>22.8</v>
      </c>
      <c r="J6" s="278">
        <v>0.2</v>
      </c>
      <c r="K6" s="279">
        <v>5.7</v>
      </c>
      <c r="L6" s="279">
        <v>3.2</v>
      </c>
      <c r="M6" s="279">
        <v>3.5</v>
      </c>
      <c r="N6" s="279">
        <v>2</v>
      </c>
      <c r="O6" s="279">
        <v>3.2</v>
      </c>
      <c r="P6" s="279">
        <v>20.2</v>
      </c>
      <c r="Q6" s="197">
        <f aca="true" t="shared" si="0" ref="Q6:Q14">SUM(B6:P6)</f>
        <v>137.3</v>
      </c>
      <c r="R6" s="187" t="e">
        <f aca="true" t="shared" si="1" ref="R6:R14">(Q6/$R$5)*100</f>
        <v>#DIV/0!</v>
      </c>
      <c r="S6" s="9"/>
    </row>
    <row r="7" spans="1:19" ht="11.25">
      <c r="A7" s="180">
        <v>1993</v>
      </c>
      <c r="B7" s="277">
        <v>3.7</v>
      </c>
      <c r="C7" s="278">
        <v>2.1</v>
      </c>
      <c r="D7" s="279">
        <v>30</v>
      </c>
      <c r="E7" s="279">
        <v>3.8</v>
      </c>
      <c r="F7" s="279">
        <v>13.5</v>
      </c>
      <c r="G7" s="279">
        <v>22.3</v>
      </c>
      <c r="H7" s="278">
        <v>1.2</v>
      </c>
      <c r="I7" s="279">
        <v>22.6</v>
      </c>
      <c r="J7" s="278">
        <v>0.2</v>
      </c>
      <c r="K7" s="279">
        <v>5.7</v>
      </c>
      <c r="L7" s="279">
        <v>3.3</v>
      </c>
      <c r="M7" s="279">
        <v>3.5</v>
      </c>
      <c r="N7" s="279">
        <v>2</v>
      </c>
      <c r="O7" s="279">
        <v>3.2</v>
      </c>
      <c r="P7" s="279">
        <v>20.2</v>
      </c>
      <c r="Q7" s="195">
        <f t="shared" si="0"/>
        <v>137.29999999999998</v>
      </c>
      <c r="R7" s="187" t="e">
        <f t="shared" si="1"/>
        <v>#DIV/0!</v>
      </c>
      <c r="S7" s="9"/>
    </row>
    <row r="8" spans="1:19" ht="11.25">
      <c r="A8" s="180">
        <v>1994</v>
      </c>
      <c r="B8" s="277">
        <v>3.7</v>
      </c>
      <c r="C8" s="278">
        <v>2.2</v>
      </c>
      <c r="D8" s="279">
        <v>29.9</v>
      </c>
      <c r="E8" s="279">
        <v>3.8</v>
      </c>
      <c r="F8" s="279">
        <v>13.6</v>
      </c>
      <c r="G8" s="279">
        <v>22.5</v>
      </c>
      <c r="H8" s="278">
        <v>1.3</v>
      </c>
      <c r="I8" s="279">
        <v>22.6</v>
      </c>
      <c r="J8" s="278">
        <v>0.2</v>
      </c>
      <c r="K8" s="279">
        <v>5.7</v>
      </c>
      <c r="L8" s="279">
        <v>3.3</v>
      </c>
      <c r="M8" s="279">
        <v>3.5</v>
      </c>
      <c r="N8" s="279">
        <v>2</v>
      </c>
      <c r="O8" s="279">
        <v>3.2</v>
      </c>
      <c r="P8" s="279">
        <v>20.2</v>
      </c>
      <c r="Q8" s="195">
        <f t="shared" si="0"/>
        <v>137.7</v>
      </c>
      <c r="R8" s="187" t="e">
        <f t="shared" si="1"/>
        <v>#DIV/0!</v>
      </c>
      <c r="S8" s="9"/>
    </row>
    <row r="9" spans="1:19" ht="11.25">
      <c r="A9" s="180">
        <v>1995</v>
      </c>
      <c r="B9" s="277">
        <v>3.8</v>
      </c>
      <c r="C9" s="278">
        <v>2.2</v>
      </c>
      <c r="D9" s="279">
        <v>30.4</v>
      </c>
      <c r="E9" s="279">
        <v>3.9</v>
      </c>
      <c r="F9" s="279">
        <v>13.8</v>
      </c>
      <c r="G9" s="279">
        <v>22.5</v>
      </c>
      <c r="H9" s="278">
        <v>1.3</v>
      </c>
      <c r="I9" s="279">
        <v>23.2</v>
      </c>
      <c r="J9" s="278">
        <v>0.2</v>
      </c>
      <c r="K9" s="279">
        <v>5.8</v>
      </c>
      <c r="L9" s="279">
        <v>3.3</v>
      </c>
      <c r="M9" s="279">
        <v>3.5</v>
      </c>
      <c r="N9" s="279">
        <v>2</v>
      </c>
      <c r="O9" s="279">
        <v>3.3</v>
      </c>
      <c r="P9" s="279">
        <v>20.5</v>
      </c>
      <c r="Q9" s="195">
        <f t="shared" si="0"/>
        <v>139.7</v>
      </c>
      <c r="R9" s="187" t="e">
        <f t="shared" si="1"/>
        <v>#DIV/0!</v>
      </c>
      <c r="S9" s="9"/>
    </row>
    <row r="10" spans="1:19" ht="11.25">
      <c r="A10" s="180">
        <v>1996</v>
      </c>
      <c r="B10" s="277">
        <v>3.7</v>
      </c>
      <c r="C10" s="278">
        <v>2.3</v>
      </c>
      <c r="D10" s="279">
        <v>30.2</v>
      </c>
      <c r="E10" s="279">
        <v>3.9</v>
      </c>
      <c r="F10" s="279">
        <v>13.6</v>
      </c>
      <c r="G10" s="279">
        <v>22.6</v>
      </c>
      <c r="H10" s="278">
        <v>1.3</v>
      </c>
      <c r="I10" s="279">
        <v>23.2</v>
      </c>
      <c r="J10" s="278">
        <v>0.2</v>
      </c>
      <c r="K10" s="279">
        <v>5.8</v>
      </c>
      <c r="L10" s="279">
        <v>3.4</v>
      </c>
      <c r="M10" s="279">
        <v>3.5</v>
      </c>
      <c r="N10" s="279">
        <v>2</v>
      </c>
      <c r="O10" s="279">
        <v>3.3</v>
      </c>
      <c r="P10" s="280">
        <v>20.5</v>
      </c>
      <c r="Q10" s="195">
        <f t="shared" si="0"/>
        <v>139.5</v>
      </c>
      <c r="R10" s="187" t="e">
        <f t="shared" si="1"/>
        <v>#DIV/0!</v>
      </c>
      <c r="S10" s="9"/>
    </row>
    <row r="11" spans="1:19" ht="11.25">
      <c r="A11" s="180">
        <v>1997</v>
      </c>
      <c r="B11" s="277">
        <v>3.8</v>
      </c>
      <c r="C11" s="278">
        <v>2.3</v>
      </c>
      <c r="D11" s="279">
        <v>30.3</v>
      </c>
      <c r="E11" s="279">
        <v>4</v>
      </c>
      <c r="F11" s="279">
        <v>14.1</v>
      </c>
      <c r="G11" s="279">
        <v>23</v>
      </c>
      <c r="H11" s="278">
        <v>1.3</v>
      </c>
      <c r="I11" s="279">
        <v>23.3</v>
      </c>
      <c r="J11" s="278">
        <v>0.2</v>
      </c>
      <c r="K11" s="279">
        <v>5.8</v>
      </c>
      <c r="L11" s="279">
        <v>3.4</v>
      </c>
      <c r="M11" s="279">
        <v>3.5</v>
      </c>
      <c r="N11" s="279">
        <v>2</v>
      </c>
      <c r="O11" s="279">
        <v>3.3</v>
      </c>
      <c r="P11" s="280">
        <v>20.7</v>
      </c>
      <c r="Q11" s="195">
        <f t="shared" si="0"/>
        <v>141</v>
      </c>
      <c r="R11" s="187" t="e">
        <f t="shared" si="1"/>
        <v>#DIV/0!</v>
      </c>
      <c r="S11" s="9"/>
    </row>
    <row r="12" spans="1:19" ht="11.25">
      <c r="A12" s="196">
        <v>1998</v>
      </c>
      <c r="B12" s="277">
        <v>3.8</v>
      </c>
      <c r="C12" s="278">
        <v>2.3</v>
      </c>
      <c r="D12" s="279">
        <v>30.4</v>
      </c>
      <c r="E12" s="279">
        <v>4</v>
      </c>
      <c r="F12" s="279">
        <v>14.4</v>
      </c>
      <c r="G12" s="279">
        <v>23.3</v>
      </c>
      <c r="H12" s="278">
        <v>1.4</v>
      </c>
      <c r="I12" s="279">
        <v>23.3</v>
      </c>
      <c r="J12" s="278">
        <v>0.2</v>
      </c>
      <c r="K12" s="279">
        <v>5.9</v>
      </c>
      <c r="L12" s="279">
        <v>3.4</v>
      </c>
      <c r="M12" s="279">
        <v>3.5</v>
      </c>
      <c r="N12" s="279">
        <v>2</v>
      </c>
      <c r="O12" s="279">
        <v>3.4</v>
      </c>
      <c r="P12" s="280">
        <v>20.9</v>
      </c>
      <c r="Q12" s="195">
        <f t="shared" si="0"/>
        <v>142.20000000000002</v>
      </c>
      <c r="R12" s="187" t="e">
        <f t="shared" si="1"/>
        <v>#DIV/0!</v>
      </c>
      <c r="S12" s="9"/>
    </row>
    <row r="13" spans="1:19" ht="11.25">
      <c r="A13" s="196">
        <v>1999</v>
      </c>
      <c r="B13" s="277">
        <v>3.8</v>
      </c>
      <c r="C13" s="278">
        <v>2.3</v>
      </c>
      <c r="D13" s="279">
        <v>30.4</v>
      </c>
      <c r="E13" s="279">
        <v>4.1</v>
      </c>
      <c r="F13" s="279">
        <v>14.5</v>
      </c>
      <c r="G13" s="279">
        <v>23.5</v>
      </c>
      <c r="H13" s="278">
        <v>1.4</v>
      </c>
      <c r="I13" s="279">
        <v>23.5</v>
      </c>
      <c r="J13" s="278">
        <v>0.2</v>
      </c>
      <c r="K13" s="279">
        <v>5.9</v>
      </c>
      <c r="L13" s="279">
        <v>3.4</v>
      </c>
      <c r="M13" s="279">
        <v>3.5</v>
      </c>
      <c r="N13" s="279">
        <v>2</v>
      </c>
      <c r="O13" s="279">
        <v>3.4</v>
      </c>
      <c r="P13" s="280">
        <v>21</v>
      </c>
      <c r="Q13" s="197">
        <f t="shared" si="0"/>
        <v>142.90000000000003</v>
      </c>
      <c r="R13" s="187" t="e">
        <f t="shared" si="1"/>
        <v>#DIV/0!</v>
      </c>
      <c r="S13" s="9"/>
    </row>
    <row r="14" spans="1:19" ht="11.25">
      <c r="A14" s="196">
        <v>2000</v>
      </c>
      <c r="B14" s="277">
        <v>3.9</v>
      </c>
      <c r="C14" s="278">
        <v>2.3</v>
      </c>
      <c r="D14" s="281">
        <v>30.6</v>
      </c>
      <c r="E14" s="279">
        <v>4.1</v>
      </c>
      <c r="F14" s="279">
        <v>14.7</v>
      </c>
      <c r="G14" s="279">
        <v>23.8</v>
      </c>
      <c r="H14" s="278">
        <v>1.4</v>
      </c>
      <c r="I14" s="279">
        <v>23.7</v>
      </c>
      <c r="J14" s="278">
        <v>0.2</v>
      </c>
      <c r="K14" s="281">
        <v>6</v>
      </c>
      <c r="L14" s="279">
        <v>3.4</v>
      </c>
      <c r="M14" s="279">
        <v>3.5</v>
      </c>
      <c r="N14" s="279">
        <v>2</v>
      </c>
      <c r="O14" s="281">
        <v>3.4</v>
      </c>
      <c r="P14" s="282">
        <v>21.2</v>
      </c>
      <c r="Q14" s="197">
        <f t="shared" si="0"/>
        <v>144.20000000000002</v>
      </c>
      <c r="R14" s="207" t="e">
        <f t="shared" si="1"/>
        <v>#DIV/0!</v>
      </c>
      <c r="S14" s="9"/>
    </row>
    <row r="15" spans="1:18" ht="12.75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170"/>
    </row>
    <row r="16" spans="1:18" ht="12.7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170"/>
    </row>
    <row r="17" spans="1:18" ht="11.25">
      <c r="A17" s="283"/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84"/>
      <c r="Q17" s="250"/>
      <c r="R17" s="212"/>
    </row>
    <row r="18" spans="1:18" ht="12.75">
      <c r="A18" s="7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13"/>
      <c r="R18" s="170"/>
    </row>
    <row r="19" spans="1:18" ht="12.75">
      <c r="A19" s="387" t="s">
        <v>217</v>
      </c>
      <c r="B19" s="387"/>
      <c r="C19" s="387"/>
      <c r="D19" s="387"/>
      <c r="E19" s="387"/>
      <c r="F19" s="387"/>
      <c r="G19" s="387"/>
      <c r="H19" s="387"/>
      <c r="I19" s="7"/>
      <c r="J19" s="7"/>
      <c r="K19" s="7"/>
      <c r="L19" s="7"/>
      <c r="M19" s="7"/>
      <c r="N19" s="7"/>
      <c r="O19" s="7"/>
      <c r="P19" s="7"/>
      <c r="Q19" s="171"/>
      <c r="R19" s="170"/>
    </row>
  </sheetData>
  <mergeCells count="1">
    <mergeCell ref="A19:H19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/>
  <dimension ref="A1:S54"/>
  <sheetViews>
    <sheetView workbookViewId="0" topLeftCell="A1">
      <selection activeCell="L40" sqref="L40"/>
    </sheetView>
  </sheetViews>
  <sheetFormatPr defaultColWidth="9.140625" defaultRowHeight="12.75"/>
  <cols>
    <col min="1" max="1" width="11.7109375" style="7" customWidth="1"/>
    <col min="2" max="18" width="6.8515625" style="7" customWidth="1"/>
    <col min="19" max="16384" width="9.140625" style="7" customWidth="1"/>
  </cols>
  <sheetData>
    <row r="1" spans="1:2" ht="11.25">
      <c r="A1" s="52" t="s">
        <v>55</v>
      </c>
      <c r="B1" s="52" t="s">
        <v>219</v>
      </c>
    </row>
    <row r="2" spans="1:17" ht="11.25">
      <c r="A2" s="29" t="s">
        <v>3</v>
      </c>
      <c r="Q2" s="46"/>
    </row>
    <row r="3" spans="1:17" ht="11.25">
      <c r="A3" s="29"/>
      <c r="Q3" s="46"/>
    </row>
    <row r="4" spans="1:17" ht="11.25">
      <c r="A4" s="37"/>
      <c r="B4" s="120" t="s">
        <v>5</v>
      </c>
      <c r="C4" s="120" t="s">
        <v>7</v>
      </c>
      <c r="D4" s="120" t="s">
        <v>8</v>
      </c>
      <c r="E4" s="120" t="s">
        <v>9</v>
      </c>
      <c r="F4" s="120" t="s">
        <v>10</v>
      </c>
      <c r="G4" s="120" t="s">
        <v>11</v>
      </c>
      <c r="H4" s="120" t="s">
        <v>12</v>
      </c>
      <c r="I4" s="120" t="s">
        <v>13</v>
      </c>
      <c r="J4" s="120" t="s">
        <v>14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</row>
    <row r="5" spans="1:17" ht="11.25">
      <c r="A5" s="289">
        <v>1991</v>
      </c>
      <c r="B5" s="7" t="e">
        <f>NA()</f>
        <v>#N/A</v>
      </c>
      <c r="C5" s="7" t="e">
        <f>NA()</f>
        <v>#N/A</v>
      </c>
      <c r="D5" s="7" t="e">
        <f>NA()</f>
        <v>#N/A</v>
      </c>
      <c r="E5" s="7" t="e">
        <f>NA()</f>
        <v>#N/A</v>
      </c>
      <c r="F5" s="7" t="e">
        <f>NA()</f>
        <v>#N/A</v>
      </c>
      <c r="G5" s="7" t="e">
        <f>NA()</f>
        <v>#N/A</v>
      </c>
      <c r="H5" s="7" t="e">
        <f>NA()</f>
        <v>#N/A</v>
      </c>
      <c r="I5" s="7" t="e">
        <f>NA()</f>
        <v>#N/A</v>
      </c>
      <c r="J5" s="7" t="e">
        <f>NA()</f>
        <v>#N/A</v>
      </c>
      <c r="K5" s="7" t="e">
        <f>NA()</f>
        <v>#N/A</v>
      </c>
      <c r="L5" s="7" t="e">
        <f>NA()</f>
        <v>#N/A</v>
      </c>
      <c r="M5" s="7" t="e">
        <f>NA()</f>
        <v>#N/A</v>
      </c>
      <c r="N5" s="7" t="e">
        <f>NA()</f>
        <v>#N/A</v>
      </c>
      <c r="O5" s="7" t="e">
        <f>NA()</f>
        <v>#N/A</v>
      </c>
      <c r="P5" s="7" t="e">
        <f>NA()</f>
        <v>#N/A</v>
      </c>
      <c r="Q5" s="7" t="e">
        <f>NA()</f>
        <v>#N/A</v>
      </c>
    </row>
    <row r="6" spans="1:17" ht="11.25">
      <c r="A6" s="121">
        <v>1992</v>
      </c>
      <c r="B6" s="20">
        <f>+basedata_cy!R7</f>
        <v>70.60999999999999</v>
      </c>
      <c r="C6" s="51">
        <f>+basedata_cy!C7</f>
        <v>3.4</v>
      </c>
      <c r="D6" s="51">
        <f>+basedata_cy!D7</f>
        <v>5.3</v>
      </c>
      <c r="E6" s="51">
        <f>+basedata_cy!E7</f>
        <v>23.7</v>
      </c>
      <c r="F6" s="51">
        <f>+basedata_cy!F7</f>
        <v>0.8</v>
      </c>
      <c r="G6" s="51">
        <f>+basedata_cy!G7</f>
        <v>0.8</v>
      </c>
      <c r="H6" s="51">
        <f>+basedata_cy!H7</f>
        <v>4.5</v>
      </c>
      <c r="I6" s="51">
        <f>+basedata_cy!I7</f>
        <v>0.7</v>
      </c>
      <c r="J6" s="51">
        <f>+basedata_cy!J7</f>
        <v>9</v>
      </c>
      <c r="K6" s="51">
        <f>+basedata_cy!K7</f>
        <v>0.01</v>
      </c>
      <c r="L6" s="51">
        <f>+basedata_cy!L7</f>
        <v>12.5</v>
      </c>
      <c r="M6" s="51">
        <f>+basedata_cy!M7</f>
        <v>1.3</v>
      </c>
      <c r="N6" s="51">
        <f>+basedata_cy!N7</f>
        <v>0.3</v>
      </c>
      <c r="O6" s="51">
        <f>+basedata_cy!O7</f>
        <v>1.4</v>
      </c>
      <c r="P6" s="51">
        <f>+basedata_cy!P7</f>
        <v>2.2</v>
      </c>
      <c r="Q6" s="51">
        <f>+basedata_cy!Q7</f>
        <v>4.7</v>
      </c>
    </row>
    <row r="7" spans="1:17" ht="11.25">
      <c r="A7" s="121">
        <v>1993</v>
      </c>
      <c r="B7" s="20">
        <f>+basedata_cy!R8</f>
        <v>69.80999999999999</v>
      </c>
      <c r="C7" s="51">
        <f>+basedata_cy!C8</f>
        <v>3.3</v>
      </c>
      <c r="D7" s="51">
        <f>+basedata_cy!D8</f>
        <v>5.1</v>
      </c>
      <c r="E7" s="51">
        <f>+basedata_cy!E8</f>
        <v>23.6</v>
      </c>
      <c r="F7" s="51">
        <f>+basedata_cy!F8</f>
        <v>0.8</v>
      </c>
      <c r="G7" s="51">
        <f>+basedata_cy!G8</f>
        <v>0.8</v>
      </c>
      <c r="H7" s="51">
        <f>+basedata_cy!H8</f>
        <v>4.4</v>
      </c>
      <c r="I7" s="51">
        <f>+basedata_cy!I8</f>
        <v>0.7</v>
      </c>
      <c r="J7" s="51">
        <f>+basedata_cy!J8</f>
        <v>9</v>
      </c>
      <c r="K7" s="51">
        <f>+basedata_cy!K8</f>
        <v>0.01</v>
      </c>
      <c r="L7" s="51">
        <f>+basedata_cy!L8</f>
        <v>12.4</v>
      </c>
      <c r="M7" s="51">
        <f>+basedata_cy!M8</f>
        <v>1.3</v>
      </c>
      <c r="N7" s="51">
        <f>+basedata_cy!N8</f>
        <v>0.3</v>
      </c>
      <c r="O7" s="51">
        <f>+basedata_cy!O8</f>
        <v>1.4</v>
      </c>
      <c r="P7" s="51">
        <f>+basedata_cy!P8</f>
        <v>2.2</v>
      </c>
      <c r="Q7" s="51">
        <f>+basedata_cy!Q8</f>
        <v>4.5</v>
      </c>
    </row>
    <row r="8" spans="1:17" ht="11.25">
      <c r="A8" s="121">
        <v>1994</v>
      </c>
      <c r="B8" s="20">
        <f>+basedata_cy!R9</f>
        <v>69.50999999999999</v>
      </c>
      <c r="C8" s="51">
        <f>+basedata_cy!C9</f>
        <v>3.3</v>
      </c>
      <c r="D8" s="51">
        <f>+basedata_cy!D9</f>
        <v>4.6</v>
      </c>
      <c r="E8" s="51">
        <f>+basedata_cy!E9</f>
        <v>23.6</v>
      </c>
      <c r="F8" s="51">
        <f>+basedata_cy!F9</f>
        <v>0.8</v>
      </c>
      <c r="G8" s="51">
        <f>+basedata_cy!G9</f>
        <v>0.8</v>
      </c>
      <c r="H8" s="51">
        <f>+basedata_cy!H9</f>
        <v>4.4</v>
      </c>
      <c r="I8" s="51">
        <f>+basedata_cy!I9</f>
        <v>0.7</v>
      </c>
      <c r="J8" s="51">
        <f>+basedata_cy!J9</f>
        <v>9</v>
      </c>
      <c r="K8" s="51">
        <f>+basedata_cy!K9</f>
        <v>0.01</v>
      </c>
      <c r="L8" s="51">
        <f>+basedata_cy!L9</f>
        <v>13</v>
      </c>
      <c r="M8" s="51">
        <f>+basedata_cy!M9</f>
        <v>1.2</v>
      </c>
      <c r="N8" s="51">
        <f>+basedata_cy!N9</f>
        <v>0.3</v>
      </c>
      <c r="O8" s="51">
        <f>+basedata_cy!O9</f>
        <v>1</v>
      </c>
      <c r="P8" s="51">
        <f>+basedata_cy!P9</f>
        <v>2.3</v>
      </c>
      <c r="Q8" s="51">
        <f>+basedata_cy!Q9</f>
        <v>4.5</v>
      </c>
    </row>
    <row r="9" spans="1:17" ht="11.25">
      <c r="A9" s="121">
        <v>1995</v>
      </c>
      <c r="B9" s="20">
        <f>+basedata_cy!R10</f>
        <v>70.81</v>
      </c>
      <c r="C9" s="51">
        <f>+basedata_cy!C10</f>
        <v>3.3</v>
      </c>
      <c r="D9" s="51">
        <f>+basedata_cy!D10</f>
        <v>5.1</v>
      </c>
      <c r="E9" s="51">
        <f>+basedata_cy!E10</f>
        <v>23.8</v>
      </c>
      <c r="F9" s="51">
        <f>+basedata_cy!F10</f>
        <v>0.8</v>
      </c>
      <c r="G9" s="51">
        <f>+basedata_cy!G10</f>
        <v>0.8</v>
      </c>
      <c r="H9" s="51">
        <f>+basedata_cy!H10</f>
        <v>4.4</v>
      </c>
      <c r="I9" s="51">
        <f>+basedata_cy!I10</f>
        <v>0.7</v>
      </c>
      <c r="J9" s="51">
        <f>+basedata_cy!J10</f>
        <v>9</v>
      </c>
      <c r="K9" s="51">
        <f>+basedata_cy!K10</f>
        <v>0.01</v>
      </c>
      <c r="L9" s="51">
        <f>+basedata_cy!L10</f>
        <v>13.2</v>
      </c>
      <c r="M9" s="51">
        <f>+basedata_cy!M10</f>
        <v>1.2</v>
      </c>
      <c r="N9" s="51">
        <f>+basedata_cy!N10</f>
        <v>0.3</v>
      </c>
      <c r="O9" s="51">
        <f>+basedata_cy!O10</f>
        <v>1.3</v>
      </c>
      <c r="P9" s="51">
        <f>+basedata_cy!P10</f>
        <v>2.4</v>
      </c>
      <c r="Q9" s="51">
        <f>+basedata_cy!Q10</f>
        <v>4.5</v>
      </c>
    </row>
    <row r="10" spans="1:17" ht="11.25">
      <c r="A10" s="287">
        <v>1996</v>
      </c>
      <c r="B10" s="20">
        <f>+basedata_cy!R11</f>
        <v>69.20999999999998</v>
      </c>
      <c r="C10" s="51">
        <f>+basedata_cy!C11</f>
        <v>3.3</v>
      </c>
      <c r="D10" s="51">
        <f>+basedata_cy!D11</f>
        <v>4.8</v>
      </c>
      <c r="E10" s="51">
        <f>+basedata_cy!E11</f>
        <v>23.7</v>
      </c>
      <c r="F10" s="51">
        <f>+basedata_cy!F11</f>
        <v>0.8</v>
      </c>
      <c r="G10" s="51">
        <f>+basedata_cy!G11</f>
        <v>0.8</v>
      </c>
      <c r="H10" s="51">
        <f>+basedata_cy!H11</f>
        <v>4.4</v>
      </c>
      <c r="I10" s="51">
        <f>+basedata_cy!I11</f>
        <v>0.7</v>
      </c>
      <c r="J10" s="51">
        <f>+basedata_cy!J11</f>
        <v>9</v>
      </c>
      <c r="K10" s="51">
        <f>+basedata_cy!K11</f>
        <v>0.01</v>
      </c>
      <c r="L10" s="51">
        <f>+basedata_cy!L11</f>
        <v>12.6</v>
      </c>
      <c r="M10" s="51">
        <f>+basedata_cy!M11</f>
        <v>1.1</v>
      </c>
      <c r="N10" s="51">
        <f>+basedata_cy!N11</f>
        <v>0.3</v>
      </c>
      <c r="O10" s="51">
        <f>+basedata_cy!O11</f>
        <v>1.3</v>
      </c>
      <c r="P10" s="51">
        <f>+basedata_cy!P11</f>
        <v>2.1</v>
      </c>
      <c r="Q10" s="51">
        <f>+basedata_cy!Q11</f>
        <v>4.3</v>
      </c>
    </row>
    <row r="11" spans="1:17" ht="11.25">
      <c r="A11" s="287">
        <v>1997</v>
      </c>
      <c r="B11" s="20">
        <f>+basedata_cy!R12</f>
        <v>70.71</v>
      </c>
      <c r="C11" s="51">
        <f>+basedata_cy!C12</f>
        <v>3.3</v>
      </c>
      <c r="D11" s="51">
        <f>+basedata_cy!D12</f>
        <v>4.9</v>
      </c>
      <c r="E11" s="51">
        <f>+basedata_cy!E12</f>
        <v>23.8</v>
      </c>
      <c r="F11" s="51">
        <f>+basedata_cy!F12</f>
        <v>0.8</v>
      </c>
      <c r="G11" s="51">
        <f>+basedata_cy!G12</f>
        <v>0.8</v>
      </c>
      <c r="H11" s="51">
        <f>+basedata_cy!H12</f>
        <v>4.4</v>
      </c>
      <c r="I11" s="51">
        <f>+basedata_cy!I12</f>
        <v>0.7</v>
      </c>
      <c r="J11" s="51">
        <f>+basedata_cy!J12</f>
        <v>9</v>
      </c>
      <c r="K11" s="51">
        <f>+basedata_cy!K12</f>
        <v>0.01</v>
      </c>
      <c r="L11" s="51">
        <f>+basedata_cy!L12</f>
        <v>13.5</v>
      </c>
      <c r="M11" s="51">
        <f>+basedata_cy!M12</f>
        <v>1.1</v>
      </c>
      <c r="N11" s="51">
        <f>+basedata_cy!N12</f>
        <v>0.3</v>
      </c>
      <c r="O11" s="51">
        <f>+basedata_cy!O12</f>
        <v>1.3</v>
      </c>
      <c r="P11" s="51">
        <f>+basedata_cy!P12</f>
        <v>2.4</v>
      </c>
      <c r="Q11" s="51">
        <f>+basedata_cy!Q12</f>
        <v>4.4</v>
      </c>
    </row>
    <row r="12" spans="1:17" ht="11.25">
      <c r="A12" s="287">
        <v>1998</v>
      </c>
      <c r="B12" s="20">
        <f>+basedata_cy!R13</f>
        <v>70.41</v>
      </c>
      <c r="C12" s="51">
        <f>+basedata_cy!C13</f>
        <v>3.3</v>
      </c>
      <c r="D12" s="51">
        <f>+basedata_cy!D13</f>
        <v>5</v>
      </c>
      <c r="E12" s="51">
        <f>+basedata_cy!E13</f>
        <v>23.8</v>
      </c>
      <c r="F12" s="51">
        <f>+basedata_cy!F13</f>
        <v>0.8</v>
      </c>
      <c r="G12" s="51">
        <f>+basedata_cy!G13</f>
        <v>0.8</v>
      </c>
      <c r="H12" s="51">
        <f>+basedata_cy!H13</f>
        <v>4.4</v>
      </c>
      <c r="I12" s="51">
        <f>+basedata_cy!I13</f>
        <v>0.7</v>
      </c>
      <c r="J12" s="51">
        <f>+basedata_cy!J13</f>
        <v>8.9</v>
      </c>
      <c r="K12" s="51">
        <f>+basedata_cy!K13</f>
        <v>0.01</v>
      </c>
      <c r="L12" s="51">
        <f>+basedata_cy!L13</f>
        <v>13.3</v>
      </c>
      <c r="M12" s="51">
        <f>+basedata_cy!M13</f>
        <v>1.1</v>
      </c>
      <c r="N12" s="51">
        <f>+basedata_cy!N13</f>
        <v>0.3</v>
      </c>
      <c r="O12" s="51">
        <f>+basedata_cy!O13</f>
        <v>1.3</v>
      </c>
      <c r="P12" s="51">
        <f>+basedata_cy!P13</f>
        <v>2.3</v>
      </c>
      <c r="Q12" s="51">
        <f>+basedata_cy!Q13</f>
        <v>4.4</v>
      </c>
    </row>
    <row r="13" spans="1:17" ht="11.25">
      <c r="A13" s="287">
        <v>1999</v>
      </c>
      <c r="B13" s="20">
        <f>+basedata_cy!R14</f>
        <v>70.71</v>
      </c>
      <c r="C13" s="51">
        <f>+basedata_cy!C14</f>
        <v>3.3</v>
      </c>
      <c r="D13" s="51">
        <f>+basedata_cy!D14</f>
        <v>5</v>
      </c>
      <c r="E13" s="51">
        <f>+basedata_cy!E14</f>
        <v>23.9</v>
      </c>
      <c r="F13" s="51">
        <f>+basedata_cy!F14</f>
        <v>0.8</v>
      </c>
      <c r="G13" s="51">
        <f>+basedata_cy!G14</f>
        <v>0.8</v>
      </c>
      <c r="H13" s="51">
        <f>+basedata_cy!H14</f>
        <v>4.4</v>
      </c>
      <c r="I13" s="51">
        <f>+basedata_cy!I14</f>
        <v>0.7</v>
      </c>
      <c r="J13" s="51">
        <f>+basedata_cy!J14</f>
        <v>8.9</v>
      </c>
      <c r="K13" s="51">
        <f>+basedata_cy!K14</f>
        <v>0.01</v>
      </c>
      <c r="L13" s="51">
        <f>+basedata_cy!L14</f>
        <v>13.4</v>
      </c>
      <c r="M13" s="51">
        <f>+basedata_cy!M14</f>
        <v>1.1</v>
      </c>
      <c r="N13" s="51">
        <f>+basedata_cy!N14</f>
        <v>0.3</v>
      </c>
      <c r="O13" s="51">
        <f>+basedata_cy!O14</f>
        <v>1.3</v>
      </c>
      <c r="P13" s="51">
        <f>+basedata_cy!P14</f>
        <v>2.4</v>
      </c>
      <c r="Q13" s="51">
        <f>+basedata_cy!Q14</f>
        <v>4.4</v>
      </c>
    </row>
    <row r="14" spans="1:17" ht="11.25">
      <c r="A14" s="287">
        <v>2000</v>
      </c>
      <c r="B14" s="20">
        <f>+basedata_cy!R15</f>
        <v>70.91</v>
      </c>
      <c r="C14" s="51">
        <f>+basedata_cy!C15</f>
        <v>3.3</v>
      </c>
      <c r="D14" s="51">
        <f>+basedata_cy!D15</f>
        <v>5</v>
      </c>
      <c r="E14" s="51">
        <f>+basedata_cy!E15</f>
        <v>23.9</v>
      </c>
      <c r="F14" s="51">
        <f>+basedata_cy!F15</f>
        <v>0.8</v>
      </c>
      <c r="G14" s="51">
        <f>+basedata_cy!G15</f>
        <v>0.8</v>
      </c>
      <c r="H14" s="51">
        <f>+basedata_cy!H15</f>
        <v>4.4</v>
      </c>
      <c r="I14" s="51">
        <f>+basedata_cy!I15</f>
        <v>0.7</v>
      </c>
      <c r="J14" s="51">
        <f>+basedata_cy!J15</f>
        <v>8.9</v>
      </c>
      <c r="K14" s="51">
        <f>+basedata_cy!K15</f>
        <v>0.01</v>
      </c>
      <c r="L14" s="51">
        <f>+basedata_cy!L15</f>
        <v>13.5</v>
      </c>
      <c r="M14" s="51">
        <f>+basedata_cy!M15</f>
        <v>1.1</v>
      </c>
      <c r="N14" s="51">
        <f>+basedata_cy!N15</f>
        <v>0.3</v>
      </c>
      <c r="O14" s="51">
        <f>+basedata_cy!O15</f>
        <v>1.3</v>
      </c>
      <c r="P14" s="51">
        <f>+basedata_cy!P15</f>
        <v>2.4</v>
      </c>
      <c r="Q14" s="51">
        <f>+basedata_cy!Q15</f>
        <v>4.5</v>
      </c>
    </row>
    <row r="15" spans="1:17" ht="11.25">
      <c r="A15" s="287">
        <v>2001</v>
      </c>
      <c r="B15" s="20">
        <f>+basedata_cy!R16</f>
        <v>0</v>
      </c>
      <c r="C15" s="20">
        <f>+basedata_cy!S16</f>
        <v>0</v>
      </c>
      <c r="D15" s="20">
        <f>+basedata_cy!T16</f>
        <v>0</v>
      </c>
      <c r="E15" s="20">
        <f>+basedata_cy!U16</f>
        <v>0</v>
      </c>
      <c r="F15" s="20">
        <f>+basedata_cy!V16</f>
        <v>0</v>
      </c>
      <c r="G15" s="20">
        <f>+basedata_cy!W16</f>
        <v>0</v>
      </c>
      <c r="H15" s="20">
        <f>+basedata_cy!X16</f>
        <v>0</v>
      </c>
      <c r="I15" s="20">
        <f>+basedata_cy!Y16</f>
        <v>0</v>
      </c>
      <c r="J15" s="20">
        <f>+basedata_cy!Z16</f>
        <v>0</v>
      </c>
      <c r="K15" s="20">
        <f>+basedata_cy!AA16</f>
        <v>0</v>
      </c>
      <c r="L15" s="20">
        <f>+basedata_cy!AB16</f>
        <v>0</v>
      </c>
      <c r="M15" s="20">
        <f>+basedata_cy!AC16</f>
        <v>0</v>
      </c>
      <c r="N15" s="20">
        <f>+basedata_cy!AD16</f>
        <v>0</v>
      </c>
      <c r="O15" s="20">
        <f>+basedata_cy!AE16</f>
        <v>0</v>
      </c>
      <c r="P15" s="20">
        <f>+basedata_cy!AF16</f>
        <v>0</v>
      </c>
      <c r="Q15" s="20">
        <f>+basedata_cy!AG16</f>
        <v>0</v>
      </c>
    </row>
    <row r="16" spans="1:17" ht="11.25">
      <c r="A16" s="53"/>
      <c r="B16" s="20"/>
      <c r="C16" s="20"/>
      <c r="D16" s="20"/>
      <c r="E16" s="2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1.25">
      <c r="B17" s="20"/>
      <c r="C17" s="20"/>
      <c r="D17" s="20"/>
      <c r="E17" s="20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1.25">
      <c r="B18" s="20"/>
      <c r="C18" s="13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1.25">
      <c r="B19" s="20"/>
      <c r="C19" s="14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1.25">
      <c r="B20" s="20"/>
      <c r="C20" s="14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9" ht="11.25">
      <c r="B21" s="99"/>
      <c r="C21" s="141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  <c r="P21" s="42"/>
      <c r="Q21" s="42"/>
      <c r="R21" s="20"/>
      <c r="S21" s="20"/>
    </row>
    <row r="22" spans="2:19" ht="11.25">
      <c r="B22" s="99"/>
      <c r="C22" s="142"/>
      <c r="D22" s="43"/>
      <c r="E22" s="43"/>
      <c r="F22" s="42"/>
      <c r="G22" s="43"/>
      <c r="H22" s="43"/>
      <c r="I22" s="43"/>
      <c r="J22" s="43"/>
      <c r="K22" s="42"/>
      <c r="L22" s="43"/>
      <c r="M22" s="43"/>
      <c r="N22" s="43"/>
      <c r="O22" s="43"/>
      <c r="P22" s="43"/>
      <c r="Q22" s="43"/>
      <c r="R22" s="20"/>
      <c r="S22" s="20"/>
    </row>
    <row r="23" spans="2:19" ht="11.25">
      <c r="B23" s="99"/>
      <c r="C23" s="142"/>
      <c r="D23" s="43"/>
      <c r="E23" s="43"/>
      <c r="F23" s="42"/>
      <c r="G23" s="43"/>
      <c r="H23" s="43"/>
      <c r="I23" s="43"/>
      <c r="J23" s="43"/>
      <c r="K23" s="42"/>
      <c r="L23" s="43"/>
      <c r="M23" s="43"/>
      <c r="N23" s="43"/>
      <c r="O23" s="43"/>
      <c r="P23" s="43"/>
      <c r="Q23" s="43"/>
      <c r="R23" s="20"/>
      <c r="S23" s="20"/>
    </row>
    <row r="24" spans="2:19" ht="11.25">
      <c r="B24" s="99"/>
      <c r="C24" s="1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20"/>
      <c r="S24" s="20"/>
    </row>
    <row r="25" spans="2:19" ht="11.25">
      <c r="B25" s="99"/>
      <c r="C25" s="1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20"/>
      <c r="S25" s="20"/>
    </row>
    <row r="26" spans="2:19" ht="11.25">
      <c r="B26" s="99"/>
      <c r="C26" s="1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20"/>
      <c r="S26" s="20"/>
    </row>
    <row r="27" spans="1:17" ht="11.25">
      <c r="A27" s="4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263"/>
      <c r="Q27" s="263"/>
    </row>
    <row r="28" spans="1:17" ht="11.25">
      <c r="A28" s="7" t="s">
        <v>51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20"/>
      <c r="Q28" s="20"/>
    </row>
    <row r="29" spans="1:17" ht="11.25">
      <c r="A29" s="7" t="s">
        <v>50</v>
      </c>
      <c r="B29" s="4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20"/>
      <c r="Q29" s="20"/>
    </row>
    <row r="30" spans="2:17" ht="11.25">
      <c r="B30" s="4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ht="11.25">
      <c r="B31" s="30"/>
    </row>
    <row r="32" ht="11.25">
      <c r="G32" s="38"/>
    </row>
    <row r="33" ht="11.25">
      <c r="G33" s="38"/>
    </row>
    <row r="34" spans="1:17" ht="11.25">
      <c r="A34" s="2" t="s">
        <v>109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1.25">
      <c r="A35" s="57" t="s">
        <v>95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1.25">
      <c r="A36" s="5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1.25">
      <c r="A37" s="37"/>
      <c r="B37" s="37" t="s">
        <v>5</v>
      </c>
      <c r="C37" s="37" t="s">
        <v>7</v>
      </c>
      <c r="D37" s="37" t="s">
        <v>8</v>
      </c>
      <c r="E37" s="37" t="s">
        <v>9</v>
      </c>
      <c r="F37" s="37" t="s">
        <v>10</v>
      </c>
      <c r="G37" s="37" t="s">
        <v>11</v>
      </c>
      <c r="H37" s="37" t="s">
        <v>12</v>
      </c>
      <c r="I37" s="37" t="s">
        <v>13</v>
      </c>
      <c r="J37" s="37" t="s">
        <v>14</v>
      </c>
      <c r="K37" s="37" t="s">
        <v>15</v>
      </c>
      <c r="L37" s="37" t="s">
        <v>16</v>
      </c>
      <c r="M37" s="37" t="s">
        <v>17</v>
      </c>
      <c r="N37" s="37" t="s">
        <v>18</v>
      </c>
      <c r="O37" s="37" t="s">
        <v>19</v>
      </c>
      <c r="P37" s="37" t="s">
        <v>20</v>
      </c>
      <c r="Q37" s="37" t="s">
        <v>21</v>
      </c>
    </row>
    <row r="38" spans="1:17" ht="11.25">
      <c r="A38" s="5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53">
        <v>1991</v>
      </c>
      <c r="B39" s="13" t="e">
        <f>+B5/'[6]manip_POP_EU'!B7*1000000</f>
        <v>#N/A</v>
      </c>
      <c r="C39" s="13" t="e">
        <f>+C5/'[6]manip_POP_EU'!C7*1000000</f>
        <v>#N/A</v>
      </c>
      <c r="D39" s="13" t="e">
        <f>+D5/'[6]manip_POP_EU'!D7*1000000</f>
        <v>#N/A</v>
      </c>
      <c r="E39" s="13" t="e">
        <f>+E5/'[6]manip_POP_EU'!E7*1000000</f>
        <v>#N/A</v>
      </c>
      <c r="F39" s="13" t="e">
        <f>+F5/'[6]manip_POP_EU'!F7*1000000</f>
        <v>#N/A</v>
      </c>
      <c r="G39" s="13" t="e">
        <f>+G5/'[6]manip_POP_EU'!G7*1000000</f>
        <v>#N/A</v>
      </c>
      <c r="H39" s="13" t="e">
        <f>+H5/'[6]manip_POP_EU'!H7*1000000</f>
        <v>#N/A</v>
      </c>
      <c r="I39" s="13" t="e">
        <f>+I5/'[6]manip_POP_EU'!I7*1000000</f>
        <v>#N/A</v>
      </c>
      <c r="J39" s="13" t="e">
        <f>+J5/'[6]manip_POP_EU'!J7*1000000</f>
        <v>#N/A</v>
      </c>
      <c r="K39" s="13" t="e">
        <f>+K5/'[6]manip_POP_EU'!K7*1000000</f>
        <v>#N/A</v>
      </c>
      <c r="L39" s="13" t="e">
        <f>+L5/'[6]manip_POP_EU'!L7*1000000</f>
        <v>#N/A</v>
      </c>
      <c r="M39" s="13" t="e">
        <f>+M5/'[6]manip_POP_EU'!M7*1000000</f>
        <v>#N/A</v>
      </c>
      <c r="N39" s="13" t="e">
        <f>+N5/'[6]manip_POP_EU'!N7*1000000</f>
        <v>#N/A</v>
      </c>
      <c r="O39" s="13" t="e">
        <f>+O5/'[6]manip_POP_EU'!O7*1000000</f>
        <v>#N/A</v>
      </c>
      <c r="P39" s="13" t="e">
        <f>+P5/'[6]manip_POP_EU'!P7*1000000</f>
        <v>#N/A</v>
      </c>
      <c r="Q39" s="13" t="e">
        <f>+Q5/'[6]manip_POP_EU'!Q7*1000000</f>
        <v>#N/A</v>
      </c>
    </row>
    <row r="40" spans="1:17" ht="11.25">
      <c r="A40" s="53">
        <v>1992</v>
      </c>
      <c r="B40" s="13">
        <f>+B6/'[6]manip_POP_EU'!B8*1000000</f>
        <v>191.93638835029566</v>
      </c>
      <c r="C40" s="13">
        <f>+C6/'[6]manip_POP_EU'!C8*1000000</f>
        <v>338.47685415629667</v>
      </c>
      <c r="D40" s="13">
        <f>+D6/'[6]manip_POP_EU'!D8*1000000</f>
        <v>1025.1450676982593</v>
      </c>
      <c r="E40" s="13">
        <f>+E6/'[6]manip_POP_EU'!E8*1000000</f>
        <v>293.95713435205397</v>
      </c>
      <c r="F40" s="13">
        <f>+F6/'[6]manip_POP_EU'!F8*1000000</f>
        <v>77.50435962022864</v>
      </c>
      <c r="G40" s="13">
        <f>+G6/'[6]manip_POP_EU'!G8*1000000</f>
        <v>20.50966517971594</v>
      </c>
      <c r="H40" s="13">
        <f>+H6/'[6]manip_POP_EU'!H8*1000000</f>
        <v>78.6131933902027</v>
      </c>
      <c r="I40" s="13">
        <f>+I6/'[6]manip_POP_EU'!I8*1000000</f>
        <v>197.23310134963793</v>
      </c>
      <c r="J40" s="13">
        <f>+J6/'[6]manip_POP_EU'!J8*1000000</f>
        <v>158.28628713132488</v>
      </c>
      <c r="K40" s="13">
        <f>+K6/'[6]manip_POP_EU'!K8*1000000</f>
        <v>25.477707006369428</v>
      </c>
      <c r="L40" s="13">
        <f>+L6/'[6]manip_POP_EU'!L8*1000000</f>
        <v>823.5604163921465</v>
      </c>
      <c r="M40" s="13">
        <f>+M6/'[6]manip_POP_EU'!M8*1000000</f>
        <v>164.31984225295145</v>
      </c>
      <c r="N40" s="13">
        <f>+N6/'[6]manip_POP_EU'!N8*1000000</f>
        <v>30.404378230465188</v>
      </c>
      <c r="O40" s="13">
        <f>+O6/'[6]manip_POP_EU'!O8*1000000</f>
        <v>277.66759222530743</v>
      </c>
      <c r="P40" s="13">
        <f>+P6/'[6]manip_POP_EU'!P8*1000000</f>
        <v>253.80710659898477</v>
      </c>
      <c r="Q40" s="13">
        <f>+Q6/'[6]manip_POP_EU'!Q8*1000000</f>
        <v>81.02610074819846</v>
      </c>
    </row>
    <row r="41" spans="1:17" ht="11.25">
      <c r="A41" s="53">
        <v>1993</v>
      </c>
      <c r="B41" s="13">
        <f>+B7/'[6]manip_POP_EU'!B9*1000000</f>
        <v>188.93374896412558</v>
      </c>
      <c r="C41" s="13">
        <f>+C7/'[6]manip_POP_EU'!C9*1000000</f>
        <v>327.2348653874758</v>
      </c>
      <c r="D41" s="13">
        <f>+D7/'[6]manip_POP_EU'!D9*1000000</f>
        <v>982.848333012141</v>
      </c>
      <c r="E41" s="13">
        <f>+E7/'[6]manip_POP_EU'!E9*1000000</f>
        <v>290.7979693429938</v>
      </c>
      <c r="F41" s="13">
        <f>+F7/'[6]manip_POP_EU'!F9*1000000</f>
        <v>77.08614376565812</v>
      </c>
      <c r="G41" s="13">
        <f>+G7/'[6]manip_POP_EU'!G9*1000000</f>
        <v>20.46925773354144</v>
      </c>
      <c r="H41" s="13">
        <f>+H7/'[6]manip_POP_EU'!H9*1000000</f>
        <v>76.56235046415925</v>
      </c>
      <c r="I41" s="13">
        <f>+I7/'[6]manip_POP_EU'!I9*1000000</f>
        <v>196.44711363062328</v>
      </c>
      <c r="J41" s="13">
        <f>+J7/'[6]manip_POP_EU'!J9*1000000</f>
        <v>157.75911935353818</v>
      </c>
      <c r="K41" s="13">
        <f>+K7/'[6]manip_POP_EU'!K9*1000000</f>
        <v>25.119316754584275</v>
      </c>
      <c r="L41" s="13">
        <f>+L7/'[6]manip_POP_EU'!L9*1000000</f>
        <v>811.5661262770712</v>
      </c>
      <c r="M41" s="13">
        <f>+M7/'[6]manip_POP_EU'!M9*1000000</f>
        <v>162.7339300244101</v>
      </c>
      <c r="N41" s="13">
        <f>+N7/'[6]manip_POP_EU'!N9*1000000</f>
        <v>30.36129946361704</v>
      </c>
      <c r="O41" s="13">
        <f>+O7/'[6]manip_POP_EU'!O9*1000000</f>
        <v>276.3521515988946</v>
      </c>
      <c r="P41" s="13">
        <f>+P7/'[6]manip_POP_EU'!P9*1000000</f>
        <v>252.33409033560434</v>
      </c>
      <c r="Q41" s="13">
        <f>+Q7/'[6]manip_POP_EU'!Q9*1000000</f>
        <v>77.33154611537866</v>
      </c>
    </row>
    <row r="42" spans="1:17" ht="11.25">
      <c r="A42" s="53">
        <v>1994</v>
      </c>
      <c r="B42" s="13">
        <f>+B8/'[6]manip_POP_EU'!B10*1000000</f>
        <v>187.49158937977074</v>
      </c>
      <c r="C42" s="13">
        <f>+C8/'[6]manip_POP_EU'!C10*1000000</f>
        <v>326.2287951283166</v>
      </c>
      <c r="D42" s="13">
        <f>+D8/'[6]manip_POP_EU'!D10*1000000</f>
        <v>883.7656099903938</v>
      </c>
      <c r="E42" s="13">
        <f>+E8/'[6]manip_POP_EU'!E10*1000000</f>
        <v>289.51371509887633</v>
      </c>
      <c r="F42" s="13">
        <f>+F8/'[6]manip_POP_EU'!F10*1000000</f>
        <v>76.73124880107424</v>
      </c>
      <c r="G42" s="13">
        <f>+G8/'[6]manip_POP_EU'!G10*1000000</f>
        <v>20.437881613570756</v>
      </c>
      <c r="H42" s="13">
        <f>+H8/'[6]manip_POP_EU'!H10*1000000</f>
        <v>76.30781183881017</v>
      </c>
      <c r="I42" s="13">
        <f>+I8/'[6]manip_POP_EU'!I10*1000000</f>
        <v>196.0399921584003</v>
      </c>
      <c r="J42" s="13">
        <f>+J8/'[6]manip_POP_EU'!J10*1000000</f>
        <v>157.56302521008405</v>
      </c>
      <c r="K42" s="13">
        <f>+K8/'[6]manip_POP_EU'!K10*1000000</f>
        <v>24.764735017335315</v>
      </c>
      <c r="L42" s="13">
        <f>+L8/'[6]manip_POP_EU'!L10*1000000</f>
        <v>845.1914781293702</v>
      </c>
      <c r="M42" s="13">
        <f>+M8/'[6]manip_POP_EU'!M10*1000000</f>
        <v>149.4861413889754</v>
      </c>
      <c r="N42" s="13">
        <f>+N8/'[6]manip_POP_EU'!N10*1000000</f>
        <v>30.296909715209047</v>
      </c>
      <c r="O42" s="13">
        <f>+O8/'[6]manip_POP_EU'!O10*1000000</f>
        <v>196.50225977598743</v>
      </c>
      <c r="P42" s="13">
        <f>+P8/'[6]manip_POP_EU'!P10*1000000</f>
        <v>261.93811427334947</v>
      </c>
      <c r="Q42" s="13">
        <f>+Q8/'[6]manip_POP_EU'!Q10*1000000</f>
        <v>77.0613922424865</v>
      </c>
    </row>
    <row r="43" spans="1:17" ht="11.25">
      <c r="A43" s="53">
        <v>1995</v>
      </c>
      <c r="B43" s="13">
        <f>+B9/'[6]manip_POP_EU'!B11*1000000</f>
        <v>190.49627764193534</v>
      </c>
      <c r="C43" s="13">
        <f>+C9/'[6]manip_POP_EU'!C11*1000000</f>
        <v>325.54652355773027</v>
      </c>
      <c r="D43" s="13">
        <f>+D9/'[6]manip_POP_EU'!D11*1000000</f>
        <v>975.5164498852333</v>
      </c>
      <c r="E43" s="13">
        <f>+E9/'[6]manip_POP_EU'!E11*1000000</f>
        <v>291.51662134685574</v>
      </c>
      <c r="F43" s="13">
        <f>+F9/'[6]manip_POP_EU'!F11*1000000</f>
        <v>76.49646203863071</v>
      </c>
      <c r="G43" s="13">
        <f>+G9/'[6]manip_POP_EU'!G11*1000000</f>
        <v>20.4029584289722</v>
      </c>
      <c r="H43" s="13">
        <f>+H9/'[6]manip_POP_EU'!H11*1000000</f>
        <v>76.06666205656595</v>
      </c>
      <c r="I43" s="13">
        <f>+I9/'[6]manip_POP_EU'!I11*1000000</f>
        <v>194.33647973348138</v>
      </c>
      <c r="J43" s="13">
        <f>+J9/'[6]manip_POP_EU'!J11*1000000</f>
        <v>157.33165512901198</v>
      </c>
      <c r="K43" s="13">
        <f>+K9/'[6]manip_POP_EU'!K11*1000000</f>
        <v>24.42002442002442</v>
      </c>
      <c r="L43" s="13">
        <f>+L9/'[6]manip_POP_EU'!L11*1000000</f>
        <v>853.8163001293661</v>
      </c>
      <c r="M43" s="13">
        <f>+M9/'[6]manip_POP_EU'!M11*1000000</f>
        <v>149.12389710451097</v>
      </c>
      <c r="N43" s="13">
        <f>+N9/'[6]manip_POP_EU'!N11*1000000</f>
        <v>30.22061045633122</v>
      </c>
      <c r="O43" s="13">
        <f>+O9/'[6]manip_POP_EU'!O11*1000000</f>
        <v>254.50274079874708</v>
      </c>
      <c r="P43" s="13">
        <f>+P9/'[6]manip_POP_EU'!P11*1000000</f>
        <v>271.7699014834107</v>
      </c>
      <c r="Q43" s="13">
        <f>+Q9/'[6]manip_POP_EU'!Q11*1000000</f>
        <v>76.78394703613964</v>
      </c>
    </row>
    <row r="44" spans="1:17" ht="11.25">
      <c r="A44" s="53">
        <v>1996</v>
      </c>
      <c r="B44" s="13">
        <f>+B10/'[6]manip_POP_EU'!B12*1000000</f>
        <v>185.6453370966324</v>
      </c>
      <c r="C44" s="13">
        <f>+C10/'[6]manip_POP_EU'!C12*1000000</f>
        <v>324.89908437530767</v>
      </c>
      <c r="D44" s="13">
        <f>+D10/'[6]manip_POP_EU'!D12*1000000</f>
        <v>912.2006841505131</v>
      </c>
      <c r="E44" s="13">
        <f>+E10/'[6]manip_POP_EU'!E12*1000000</f>
        <v>289.33489598593616</v>
      </c>
      <c r="F44" s="13">
        <f>+F10/'[6]manip_POP_EU'!F12*1000000</f>
        <v>76.37231503579953</v>
      </c>
      <c r="G44" s="13">
        <f>+G10/'[6]manip_POP_EU'!G12*1000000</f>
        <v>20.370903220385166</v>
      </c>
      <c r="H44" s="13">
        <f>+H10/'[6]manip_POP_EU'!H12*1000000</f>
        <v>75.82807706890016</v>
      </c>
      <c r="I44" s="13">
        <f>+I10/'[6]manip_POP_EU'!I12*1000000</f>
        <v>192.73127753303962</v>
      </c>
      <c r="J44" s="13">
        <f>+J10/'[6]manip_POP_EU'!J12*1000000</f>
        <v>156.84907633321714</v>
      </c>
      <c r="K44" s="13">
        <f>+K10/'[6]manip_POP_EU'!K12*1000000</f>
        <v>24.06449284081338</v>
      </c>
      <c r="L44" s="13">
        <f>+L10/'[6]manip_POP_EU'!L12*1000000</f>
        <v>812.0126313075981</v>
      </c>
      <c r="M44" s="13">
        <f>+M10/'[6]manip_POP_EU'!M12*1000000</f>
        <v>136.4867564418647</v>
      </c>
      <c r="N44" s="13">
        <f>+N10/'[6]manip_POP_EU'!N12*1000000</f>
        <v>30.211480362537763</v>
      </c>
      <c r="O44" s="13">
        <f>+O10/'[6]manip_POP_EU'!O12*1000000</f>
        <v>253.65853658536585</v>
      </c>
      <c r="P44" s="13">
        <f>+P10/'[6]manip_POP_EU'!P12*1000000</f>
        <v>237.47596969354294</v>
      </c>
      <c r="Q44" s="13">
        <f>+Q10/'[6]manip_POP_EU'!Q12*1000000</f>
        <v>73.12676439576886</v>
      </c>
    </row>
    <row r="45" spans="1:17" ht="11.25">
      <c r="A45" s="53">
        <v>1997</v>
      </c>
      <c r="B45" s="13">
        <f>+B11/'[6]manip_POP_EU'!B13*1000000</f>
        <v>189.16473190373554</v>
      </c>
      <c r="C45" s="13">
        <f>+C11/'[6]manip_POP_EU'!C13*1000000</f>
        <v>324.1331892741381</v>
      </c>
      <c r="D45" s="13">
        <f>+D11/'[6]manip_POP_EU'!D13*1000000</f>
        <v>927.2891741827555</v>
      </c>
      <c r="E45" s="13">
        <f>+E11/'[6]manip_POP_EU'!E13*1000000</f>
        <v>289.99281110258187</v>
      </c>
      <c r="F45" s="13">
        <f>+F11/'[6]manip_POP_EU'!F13*1000000</f>
        <v>76.21225111936744</v>
      </c>
      <c r="G45" s="13">
        <f>+G11/'[6]manip_POP_EU'!G13*1000000</f>
        <v>20.34432774712001</v>
      </c>
      <c r="H45" s="13">
        <f>+H11/'[6]manip_POP_EU'!H13*1000000</f>
        <v>75.59098405717427</v>
      </c>
      <c r="I45" s="13">
        <f>+I11/'[6]manip_POP_EU'!I13*1000000</f>
        <v>190.7356948228883</v>
      </c>
      <c r="J45" s="13">
        <f>+J11/'[6]manip_POP_EU'!J13*1000000</f>
        <v>156.45915546824747</v>
      </c>
      <c r="K45" s="13">
        <f>+K11/'[6]manip_POP_EU'!K13*1000000</f>
        <v>23.724792408066428</v>
      </c>
      <c r="L45" s="13">
        <f>+L11/'[6]manip_POP_EU'!L13*1000000</f>
        <v>864.9964759402832</v>
      </c>
      <c r="M45" s="13">
        <f>+M11/'[6]manip_POP_EU'!M13*1000000</f>
        <v>136.27049941899216</v>
      </c>
      <c r="N45" s="13">
        <f>+N11/'[6]manip_POP_EU'!N13*1000000</f>
        <v>30.165912518853695</v>
      </c>
      <c r="O45" s="13">
        <f>+O11/'[6]manip_POP_EU'!O13*1000000</f>
        <v>252.92616112563817</v>
      </c>
      <c r="P45" s="13">
        <f>+P11/'[6]manip_POP_EU'!P13*1000000</f>
        <v>271.203601583829</v>
      </c>
      <c r="Q45" s="13">
        <f>+Q11/'[6]manip_POP_EU'!Q13*1000000</f>
        <v>74.56489688013693</v>
      </c>
    </row>
    <row r="46" spans="1:17" ht="11.25">
      <c r="A46" s="53">
        <v>1998</v>
      </c>
      <c r="B46" s="13">
        <f>+B12/'[6]manip_POP_EU'!B14*1000000</f>
        <v>187.97762796581696</v>
      </c>
      <c r="C46" s="13">
        <f>+C12/'[6]manip_POP_EU'!C14*1000000</f>
        <v>323.4342840341076</v>
      </c>
      <c r="D46" s="13">
        <f>+D12/'[6]manip_POP_EU'!D14*1000000</f>
        <v>943.2182607055273</v>
      </c>
      <c r="E46" s="13">
        <f>+E12/'[6]manip_POP_EU'!E14*1000000</f>
        <v>290.07763842675536</v>
      </c>
      <c r="F46" s="13">
        <f>+F12/'[6]manip_POP_EU'!F14*1000000</f>
        <v>76.08178792201618</v>
      </c>
      <c r="G46" s="13">
        <f>+G12/'[6]manip_POP_EU'!G14*1000000</f>
        <v>20.31952452312616</v>
      </c>
      <c r="H46" s="13">
        <f>+H12/'[6]manip_POP_EU'!H14*1000000</f>
        <v>75.34504606322135</v>
      </c>
      <c r="I46" s="13">
        <f>+I12/'[6]manip_POP_EU'!I14*1000000</f>
        <v>188.57758620689654</v>
      </c>
      <c r="J46" s="13">
        <f>+J12/'[6]manip_POP_EU'!J14*1000000</f>
        <v>154.54608599013685</v>
      </c>
      <c r="K46" s="13">
        <f>+K12/'[6]manip_POP_EU'!K14*1000000</f>
        <v>23.44116268166901</v>
      </c>
      <c r="L46" s="13">
        <f>+L12/'[6]manip_POP_EU'!L14*1000000</f>
        <v>847.2416868390878</v>
      </c>
      <c r="M46" s="13">
        <f>+M12/'[6]manip_POP_EU'!M14*1000000</f>
        <v>136.1647345716072</v>
      </c>
      <c r="N46" s="13">
        <f>+N12/'[6]manip_POP_EU'!N14*1000000</f>
        <v>30.096308186195827</v>
      </c>
      <c r="O46" s="13">
        <f>+O12/'[6]manip_POP_EU'!O14*1000000</f>
        <v>252.28022511158548</v>
      </c>
      <c r="P46" s="13">
        <f>+P12/'[6]manip_POP_EU'!P14*1000000</f>
        <v>259.83415802435667</v>
      </c>
      <c r="Q46" s="13">
        <f>+Q12/'[6]manip_POP_EU'!Q14*1000000</f>
        <v>74.25533710235423</v>
      </c>
    </row>
    <row r="47" spans="1:17" ht="11.25">
      <c r="A47" s="53">
        <v>1999</v>
      </c>
      <c r="B47" s="13">
        <f>+B13/'[6]manip_POP_EU'!B15*1000000</f>
        <v>188.3352281830045</v>
      </c>
      <c r="C47" s="13">
        <f>+C13/'[6]manip_POP_EU'!C15*1000000</f>
        <v>322.7068257383141</v>
      </c>
      <c r="D47" s="13">
        <f>+D13/'[6]manip_POP_EU'!D15*1000000</f>
        <v>940.0263207369807</v>
      </c>
      <c r="E47" s="13">
        <f>+E13/'[6]manip_POP_EU'!E15*1000000</f>
        <v>291.15450680375693</v>
      </c>
      <c r="F47" s="13">
        <f>+F13/'[6]manip_POP_EU'!F15*1000000</f>
        <v>75.91573353577529</v>
      </c>
      <c r="G47" s="13">
        <f>+G13/'[6]manip_POP_EU'!G15*1000000</f>
        <v>20.295296565021058</v>
      </c>
      <c r="H47" s="13">
        <f>+H13/'[6]manip_POP_EU'!H15*1000000</f>
        <v>75.05970658478336</v>
      </c>
      <c r="I47" s="13">
        <f>+I13/'[6]manip_POP_EU'!I15*1000000</f>
        <v>186.56716417910445</v>
      </c>
      <c r="J47" s="13">
        <f>+J13/'[6]manip_POP_EU'!J15*1000000</f>
        <v>154.390590847587</v>
      </c>
      <c r="K47" s="13">
        <f>+K13/'[6]manip_POP_EU'!K15*1000000</f>
        <v>23.148148148148145</v>
      </c>
      <c r="L47" s="13">
        <f>+L13/'[6]manip_POP_EU'!L15*1000000</f>
        <v>847.8329642518191</v>
      </c>
      <c r="M47" s="13">
        <f>+M13/'[6]manip_POP_EU'!M15*1000000</f>
        <v>135.9325280360839</v>
      </c>
      <c r="N47" s="13">
        <f>+N13/'[6]manip_POP_EU'!N15*1000000</f>
        <v>30.03303633997397</v>
      </c>
      <c r="O47" s="13">
        <f>+O13/'[6]manip_POP_EU'!O15*1000000</f>
        <v>251.69409486931272</v>
      </c>
      <c r="P47" s="13">
        <f>+P13/'[6]manip_POP_EU'!P15*1000000</f>
        <v>270.95987535845734</v>
      </c>
      <c r="Q47" s="13">
        <f>+Q13/'[6]manip_POP_EU'!Q15*1000000</f>
        <v>73.94846128377891</v>
      </c>
    </row>
    <row r="48" spans="1:17" ht="11.25">
      <c r="A48" s="53">
        <v>2000</v>
      </c>
      <c r="B48" s="13">
        <f>+B14/'[6]manip_POP_EU'!B16*1000000</f>
        <v>188.39024085948668</v>
      </c>
      <c r="C48" s="13">
        <f>+C14/'[6]manip_POP_EU'!C16*1000000</f>
        <v>321.8884120171674</v>
      </c>
      <c r="D48" s="13">
        <f>+D14/'[6]manip_POP_EU'!D16*1000000</f>
        <v>937.031484257871</v>
      </c>
      <c r="E48" s="13">
        <f>+E14/'[6]manip_POP_EU'!E16*1000000</f>
        <v>290.9312233718807</v>
      </c>
      <c r="F48" s="13">
        <f>+F14/'[6]manip_POP_EU'!F16*1000000</f>
        <v>75.75757575757575</v>
      </c>
      <c r="G48" s="13">
        <f>+G14/'[6]manip_POP_EU'!G16*1000000</f>
        <v>20.27112631445585</v>
      </c>
      <c r="H48" s="13">
        <f>+H14/'[6]manip_POP_EU'!H16*1000000</f>
        <v>74.71303402839096</v>
      </c>
      <c r="I48" s="13">
        <f>+I14/'[6]manip_POP_EU'!I16*1000000</f>
        <v>184.50184501845018</v>
      </c>
      <c r="J48" s="13">
        <f>+J14/'[6]manip_POP_EU'!J16*1000000</f>
        <v>154.2728375801699</v>
      </c>
      <c r="K48" s="13">
        <f>+K14/'[6]manip_POP_EU'!K16*1000000</f>
        <v>22.810218978102192</v>
      </c>
      <c r="L48" s="13">
        <f>+L14/'[6]manip_POP_EU'!L16*1000000</f>
        <v>848.0432187951504</v>
      </c>
      <c r="M48" s="13">
        <f>+M14/'[6]manip_POP_EU'!M16*1000000</f>
        <v>135.63100475448323</v>
      </c>
      <c r="N48" s="13">
        <f>+N14/'[6]manip_POP_EU'!N16*1000000</f>
        <v>29.976019184652277</v>
      </c>
      <c r="O48" s="13">
        <f>+O14/'[6]manip_POP_EU'!O16*1000000</f>
        <v>251.1106818620823</v>
      </c>
      <c r="P48" s="13">
        <f>+P14/'[6]manip_POP_EU'!P16*1000000</f>
        <v>270.6054797609652</v>
      </c>
      <c r="Q48" s="13">
        <f>+Q14/'[6]manip_POP_EU'!Q16*1000000</f>
        <v>75.32780148278592</v>
      </c>
    </row>
    <row r="49" spans="1:17" ht="11.25">
      <c r="A49" s="53">
        <v>2001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1" ht="11.25">
      <c r="A51" s="7" t="s">
        <v>107</v>
      </c>
    </row>
    <row r="52" spans="2:17" ht="11.25">
      <c r="B52" s="88" t="e">
        <f>+B47/B38-1</f>
        <v>#DIV/0!</v>
      </c>
      <c r="C52" s="88" t="e">
        <f aca="true" t="shared" si="0" ref="C52:Q52">+C47/C38-1</f>
        <v>#DIV/0!</v>
      </c>
      <c r="D52" s="88" t="e">
        <f t="shared" si="0"/>
        <v>#DIV/0!</v>
      </c>
      <c r="E52" s="88" t="e">
        <f t="shared" si="0"/>
        <v>#DIV/0!</v>
      </c>
      <c r="F52" s="88" t="e">
        <f t="shared" si="0"/>
        <v>#DIV/0!</v>
      </c>
      <c r="G52" s="88" t="e">
        <f t="shared" si="0"/>
        <v>#DIV/0!</v>
      </c>
      <c r="H52" s="88" t="e">
        <f t="shared" si="0"/>
        <v>#DIV/0!</v>
      </c>
      <c r="I52" s="88" t="e">
        <f t="shared" si="0"/>
        <v>#DIV/0!</v>
      </c>
      <c r="J52" s="88" t="e">
        <f t="shared" si="0"/>
        <v>#DIV/0!</v>
      </c>
      <c r="K52" s="88" t="e">
        <f t="shared" si="0"/>
        <v>#DIV/0!</v>
      </c>
      <c r="L52" s="88" t="e">
        <f t="shared" si="0"/>
        <v>#DIV/0!</v>
      </c>
      <c r="M52" s="88" t="e">
        <f t="shared" si="0"/>
        <v>#DIV/0!</v>
      </c>
      <c r="N52" s="88" t="e">
        <f t="shared" si="0"/>
        <v>#DIV/0!</v>
      </c>
      <c r="O52" s="88" t="e">
        <f t="shared" si="0"/>
        <v>#DIV/0!</v>
      </c>
      <c r="P52" s="88" t="e">
        <f t="shared" si="0"/>
        <v>#DIV/0!</v>
      </c>
      <c r="Q52" s="88" t="e">
        <f t="shared" si="0"/>
        <v>#DIV/0!</v>
      </c>
    </row>
    <row r="54" spans="2:17" ht="11.25">
      <c r="B54" s="123">
        <f>+B47/365.25</f>
        <v>0.5156337527255428</v>
      </c>
      <c r="C54" s="123">
        <f aca="true" t="shared" si="1" ref="C54:Q54">+C47/365.25</f>
        <v>0.8835231368605451</v>
      </c>
      <c r="D54" s="123">
        <f t="shared" si="1"/>
        <v>2.5736518021546355</v>
      </c>
      <c r="E54" s="123">
        <f t="shared" si="1"/>
        <v>0.7971375956297246</v>
      </c>
      <c r="F54" s="123">
        <f t="shared" si="1"/>
        <v>0.20784595081663323</v>
      </c>
      <c r="G54" s="123">
        <f t="shared" si="1"/>
        <v>0.055565493675622336</v>
      </c>
      <c r="H54" s="123">
        <f t="shared" si="1"/>
        <v>0.20550227675505367</v>
      </c>
      <c r="I54" s="123">
        <f t="shared" si="1"/>
        <v>0.5107930573007651</v>
      </c>
      <c r="J54" s="123">
        <f t="shared" si="1"/>
        <v>0.42269840067785625</v>
      </c>
      <c r="K54" s="123">
        <f t="shared" si="1"/>
        <v>0.06337617562805789</v>
      </c>
      <c r="L54" s="123">
        <f t="shared" si="1"/>
        <v>2.3212401485333856</v>
      </c>
      <c r="M54" s="123">
        <f t="shared" si="1"/>
        <v>0.37216297888044875</v>
      </c>
      <c r="N54" s="123">
        <f t="shared" si="1"/>
        <v>0.08222597218336473</v>
      </c>
      <c r="O54" s="123">
        <f t="shared" si="1"/>
        <v>0.6891008757544496</v>
      </c>
      <c r="P54" s="123">
        <f t="shared" si="1"/>
        <v>0.7418477080313685</v>
      </c>
      <c r="Q54" s="123">
        <f t="shared" si="1"/>
        <v>0.2024598529330018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7"/>
  <dimension ref="A1:T22"/>
  <sheetViews>
    <sheetView workbookViewId="0" topLeftCell="A1">
      <selection activeCell="M34" sqref="M34"/>
    </sheetView>
  </sheetViews>
  <sheetFormatPr defaultColWidth="9.140625" defaultRowHeight="12.75"/>
  <cols>
    <col min="1" max="1" width="8.28125" style="3" customWidth="1"/>
    <col min="2" max="18" width="6.8515625" style="3" customWidth="1"/>
    <col min="19" max="16384" width="9.140625" style="3" customWidth="1"/>
  </cols>
  <sheetData>
    <row r="1" spans="1:19" ht="11.25">
      <c r="A1" s="30"/>
      <c r="B1" s="18"/>
      <c r="C1" s="1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7"/>
    </row>
    <row r="2" spans="1:19" ht="11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ht="18">
      <c r="B3" s="385" t="s">
        <v>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2:19" ht="12.75">
      <c r="B4" s="388" t="s">
        <v>191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2:19" ht="11.25">
      <c r="B5" s="174"/>
      <c r="C5" s="175" t="s">
        <v>66</v>
      </c>
      <c r="D5" s="175" t="s">
        <v>67</v>
      </c>
      <c r="E5" s="175" t="s">
        <v>68</v>
      </c>
      <c r="F5" s="175" t="s">
        <v>10</v>
      </c>
      <c r="G5" s="175" t="s">
        <v>69</v>
      </c>
      <c r="H5" s="175" t="s">
        <v>70</v>
      </c>
      <c r="I5" s="175" t="s">
        <v>71</v>
      </c>
      <c r="J5" s="175" t="s">
        <v>72</v>
      </c>
      <c r="K5" s="175" t="s">
        <v>73</v>
      </c>
      <c r="L5" s="175" t="s">
        <v>74</v>
      </c>
      <c r="M5" s="175" t="s">
        <v>75</v>
      </c>
      <c r="N5" s="175" t="s">
        <v>76</v>
      </c>
      <c r="O5" s="175" t="s">
        <v>77</v>
      </c>
      <c r="P5" s="175" t="s">
        <v>78</v>
      </c>
      <c r="Q5" s="175" t="s">
        <v>79</v>
      </c>
      <c r="R5" s="176" t="s">
        <v>114</v>
      </c>
      <c r="S5" s="377" t="s">
        <v>216</v>
      </c>
    </row>
    <row r="6" spans="2:19" ht="12.75">
      <c r="B6" s="174"/>
      <c r="C6" s="177"/>
      <c r="D6" s="177"/>
      <c r="E6" s="177"/>
      <c r="F6" s="177"/>
      <c r="G6" s="177"/>
      <c r="H6" s="178"/>
      <c r="I6" s="177"/>
      <c r="J6" s="177"/>
      <c r="K6" s="177"/>
      <c r="L6" s="177"/>
      <c r="M6" s="177"/>
      <c r="N6" s="177"/>
      <c r="O6" s="177"/>
      <c r="P6" s="177"/>
      <c r="Q6" s="177"/>
      <c r="R6" s="179"/>
      <c r="S6" s="378"/>
    </row>
    <row r="7" spans="2:19" ht="11.25">
      <c r="B7" s="180">
        <v>1992</v>
      </c>
      <c r="C7" s="277">
        <v>3.4</v>
      </c>
      <c r="D7" s="278">
        <v>5.3</v>
      </c>
      <c r="E7" s="279">
        <v>23.7</v>
      </c>
      <c r="F7" s="279">
        <v>0.8</v>
      </c>
      <c r="G7" s="279">
        <v>0.8</v>
      </c>
      <c r="H7" s="279">
        <v>4.5</v>
      </c>
      <c r="I7" s="278">
        <v>0.7</v>
      </c>
      <c r="J7" s="279">
        <v>9</v>
      </c>
      <c r="K7" s="278">
        <v>0.01</v>
      </c>
      <c r="L7" s="279">
        <v>12.5</v>
      </c>
      <c r="M7" s="279">
        <v>1.3</v>
      </c>
      <c r="N7" s="279">
        <v>0.3</v>
      </c>
      <c r="O7" s="279">
        <v>1.4</v>
      </c>
      <c r="P7" s="279">
        <v>2.2</v>
      </c>
      <c r="Q7" s="279">
        <v>4.7</v>
      </c>
      <c r="R7" s="197">
        <f aca="true" t="shared" si="0" ref="R7:R15">SUM(C7:Q7)</f>
        <v>70.60999999999999</v>
      </c>
      <c r="S7" s="187" t="e">
        <f>(R7/#REF!)*100</f>
        <v>#REF!</v>
      </c>
    </row>
    <row r="8" spans="2:19" ht="11.25">
      <c r="B8" s="180">
        <v>1993</v>
      </c>
      <c r="C8" s="277">
        <v>3.3</v>
      </c>
      <c r="D8" s="278">
        <v>5.1</v>
      </c>
      <c r="E8" s="279">
        <v>23.6</v>
      </c>
      <c r="F8" s="279">
        <v>0.8</v>
      </c>
      <c r="G8" s="279">
        <v>0.8</v>
      </c>
      <c r="H8" s="279">
        <v>4.4</v>
      </c>
      <c r="I8" s="278">
        <v>0.7</v>
      </c>
      <c r="J8" s="279">
        <v>9</v>
      </c>
      <c r="K8" s="278">
        <v>0.01</v>
      </c>
      <c r="L8" s="279">
        <v>12.4</v>
      </c>
      <c r="M8" s="279">
        <v>1.3</v>
      </c>
      <c r="N8" s="279">
        <v>0.3</v>
      </c>
      <c r="O8" s="279">
        <v>1.4</v>
      </c>
      <c r="P8" s="279">
        <v>2.2</v>
      </c>
      <c r="Q8" s="279">
        <v>4.5</v>
      </c>
      <c r="R8" s="195">
        <f t="shared" si="0"/>
        <v>69.80999999999999</v>
      </c>
      <c r="S8" s="187" t="e">
        <f>(R8/#REF!)*100</f>
        <v>#REF!</v>
      </c>
    </row>
    <row r="9" spans="2:19" ht="11.25">
      <c r="B9" s="180">
        <v>1994</v>
      </c>
      <c r="C9" s="277">
        <v>3.3</v>
      </c>
      <c r="D9" s="278">
        <v>4.6</v>
      </c>
      <c r="E9" s="279">
        <v>23.6</v>
      </c>
      <c r="F9" s="279">
        <v>0.8</v>
      </c>
      <c r="G9" s="279">
        <v>0.8</v>
      </c>
      <c r="H9" s="279">
        <v>4.4</v>
      </c>
      <c r="I9" s="278">
        <v>0.7</v>
      </c>
      <c r="J9" s="279">
        <v>9</v>
      </c>
      <c r="K9" s="278">
        <v>0.01</v>
      </c>
      <c r="L9" s="279">
        <v>13</v>
      </c>
      <c r="M9" s="279">
        <v>1.2</v>
      </c>
      <c r="N9" s="279">
        <v>0.3</v>
      </c>
      <c r="O9" s="279">
        <v>1</v>
      </c>
      <c r="P9" s="279">
        <v>2.3</v>
      </c>
      <c r="Q9" s="279">
        <v>4.5</v>
      </c>
      <c r="R9" s="195">
        <f t="shared" si="0"/>
        <v>69.50999999999999</v>
      </c>
      <c r="S9" s="187" t="e">
        <f>(R9/#REF!)*100</f>
        <v>#REF!</v>
      </c>
    </row>
    <row r="10" spans="2:19" ht="11.25">
      <c r="B10" s="180">
        <v>1995</v>
      </c>
      <c r="C10" s="277">
        <v>3.3</v>
      </c>
      <c r="D10" s="278">
        <v>5.1</v>
      </c>
      <c r="E10" s="279">
        <v>23.8</v>
      </c>
      <c r="F10" s="279">
        <v>0.8</v>
      </c>
      <c r="G10" s="279">
        <v>0.8</v>
      </c>
      <c r="H10" s="279">
        <v>4.4</v>
      </c>
      <c r="I10" s="278">
        <v>0.7</v>
      </c>
      <c r="J10" s="279">
        <v>9</v>
      </c>
      <c r="K10" s="278">
        <v>0.01</v>
      </c>
      <c r="L10" s="279">
        <v>13.2</v>
      </c>
      <c r="M10" s="279">
        <v>1.2</v>
      </c>
      <c r="N10" s="279">
        <v>0.3</v>
      </c>
      <c r="O10" s="279">
        <v>1.3</v>
      </c>
      <c r="P10" s="279">
        <v>2.4</v>
      </c>
      <c r="Q10" s="279">
        <v>4.5</v>
      </c>
      <c r="R10" s="195">
        <f t="shared" si="0"/>
        <v>70.81</v>
      </c>
      <c r="S10" s="187" t="e">
        <f>(R10/#REF!)*100</f>
        <v>#REF!</v>
      </c>
    </row>
    <row r="11" spans="2:19" ht="11.25">
      <c r="B11" s="180">
        <v>1996</v>
      </c>
      <c r="C11" s="277">
        <v>3.3</v>
      </c>
      <c r="D11" s="278">
        <v>4.8</v>
      </c>
      <c r="E11" s="279">
        <v>23.7</v>
      </c>
      <c r="F11" s="279">
        <v>0.8</v>
      </c>
      <c r="G11" s="279">
        <v>0.8</v>
      </c>
      <c r="H11" s="279">
        <v>4.4</v>
      </c>
      <c r="I11" s="278">
        <v>0.7</v>
      </c>
      <c r="J11" s="279">
        <v>9</v>
      </c>
      <c r="K11" s="278">
        <v>0.01</v>
      </c>
      <c r="L11" s="279">
        <v>12.6</v>
      </c>
      <c r="M11" s="279">
        <v>1.1</v>
      </c>
      <c r="N11" s="279">
        <v>0.3</v>
      </c>
      <c r="O11" s="279">
        <v>1.3</v>
      </c>
      <c r="P11" s="279">
        <v>2.1</v>
      </c>
      <c r="Q11" s="280">
        <v>4.3</v>
      </c>
      <c r="R11" s="195">
        <f t="shared" si="0"/>
        <v>69.20999999999998</v>
      </c>
      <c r="S11" s="187" t="e">
        <f>(R11/#REF!)*100</f>
        <v>#REF!</v>
      </c>
    </row>
    <row r="12" spans="2:19" ht="11.25">
      <c r="B12" s="180">
        <v>1997</v>
      </c>
      <c r="C12" s="277">
        <v>3.3</v>
      </c>
      <c r="D12" s="278">
        <v>4.9</v>
      </c>
      <c r="E12" s="279">
        <v>23.8</v>
      </c>
      <c r="F12" s="279">
        <v>0.8</v>
      </c>
      <c r="G12" s="279">
        <v>0.8</v>
      </c>
      <c r="H12" s="279">
        <v>4.4</v>
      </c>
      <c r="I12" s="278">
        <v>0.7</v>
      </c>
      <c r="J12" s="279">
        <v>9</v>
      </c>
      <c r="K12" s="278">
        <v>0.01</v>
      </c>
      <c r="L12" s="279">
        <v>13.5</v>
      </c>
      <c r="M12" s="279">
        <v>1.1</v>
      </c>
      <c r="N12" s="279">
        <v>0.3</v>
      </c>
      <c r="O12" s="279">
        <v>1.3</v>
      </c>
      <c r="P12" s="279">
        <v>2.4</v>
      </c>
      <c r="Q12" s="280">
        <v>4.4</v>
      </c>
      <c r="R12" s="195">
        <f t="shared" si="0"/>
        <v>70.71</v>
      </c>
      <c r="S12" s="187" t="e">
        <f>(R12/#REF!)*100</f>
        <v>#REF!</v>
      </c>
    </row>
    <row r="13" spans="2:20" ht="11.25">
      <c r="B13" s="196">
        <v>1998</v>
      </c>
      <c r="C13" s="277">
        <v>3.3</v>
      </c>
      <c r="D13" s="278">
        <v>5</v>
      </c>
      <c r="E13" s="279">
        <v>23.8</v>
      </c>
      <c r="F13" s="279">
        <v>0.8</v>
      </c>
      <c r="G13" s="279">
        <v>0.8</v>
      </c>
      <c r="H13" s="279">
        <v>4.4</v>
      </c>
      <c r="I13" s="278">
        <v>0.7</v>
      </c>
      <c r="J13" s="279">
        <v>8.9</v>
      </c>
      <c r="K13" s="278">
        <v>0.01</v>
      </c>
      <c r="L13" s="279">
        <v>13.3</v>
      </c>
      <c r="M13" s="279">
        <v>1.1</v>
      </c>
      <c r="N13" s="279">
        <v>0.3</v>
      </c>
      <c r="O13" s="279">
        <v>1.3</v>
      </c>
      <c r="P13" s="279">
        <v>2.3</v>
      </c>
      <c r="Q13" s="280">
        <v>4.4</v>
      </c>
      <c r="R13" s="195">
        <f t="shared" si="0"/>
        <v>70.41</v>
      </c>
      <c r="S13" s="187" t="e">
        <f>(R13/#REF!)*100</f>
        <v>#REF!</v>
      </c>
      <c r="T13" s="16"/>
    </row>
    <row r="14" spans="2:20" ht="11.25">
      <c r="B14" s="196">
        <v>1999</v>
      </c>
      <c r="C14" s="277">
        <v>3.3</v>
      </c>
      <c r="D14" s="278">
        <v>5</v>
      </c>
      <c r="E14" s="279">
        <v>23.9</v>
      </c>
      <c r="F14" s="279">
        <v>0.8</v>
      </c>
      <c r="G14" s="279">
        <v>0.8</v>
      </c>
      <c r="H14" s="279">
        <v>4.4</v>
      </c>
      <c r="I14" s="278">
        <v>0.7</v>
      </c>
      <c r="J14" s="279">
        <v>8.9</v>
      </c>
      <c r="K14" s="278">
        <v>0.01</v>
      </c>
      <c r="L14" s="279">
        <v>13.4</v>
      </c>
      <c r="M14" s="279">
        <v>1.1</v>
      </c>
      <c r="N14" s="279">
        <v>0.3</v>
      </c>
      <c r="O14" s="279">
        <v>1.3</v>
      </c>
      <c r="P14" s="279">
        <v>2.4</v>
      </c>
      <c r="Q14" s="280">
        <v>4.4</v>
      </c>
      <c r="R14" s="197">
        <f t="shared" si="0"/>
        <v>70.71</v>
      </c>
      <c r="S14" s="187" t="e">
        <f>(R14/#REF!)*100</f>
        <v>#REF!</v>
      </c>
      <c r="T14" s="16"/>
    </row>
    <row r="15" spans="2:20" ht="11.25">
      <c r="B15" s="196">
        <v>2000</v>
      </c>
      <c r="C15" s="277">
        <v>3.3</v>
      </c>
      <c r="D15" s="278">
        <v>5</v>
      </c>
      <c r="E15" s="281">
        <v>23.9</v>
      </c>
      <c r="F15" s="279">
        <v>0.8</v>
      </c>
      <c r="G15" s="279">
        <v>0.8</v>
      </c>
      <c r="H15" s="279">
        <v>4.4</v>
      </c>
      <c r="I15" s="278">
        <v>0.7</v>
      </c>
      <c r="J15" s="279">
        <v>8.9</v>
      </c>
      <c r="K15" s="278">
        <v>0.01</v>
      </c>
      <c r="L15" s="281">
        <v>13.5</v>
      </c>
      <c r="M15" s="279">
        <v>1.1</v>
      </c>
      <c r="N15" s="279">
        <v>0.3</v>
      </c>
      <c r="O15" s="279">
        <v>1.3</v>
      </c>
      <c r="P15" s="281">
        <v>2.4</v>
      </c>
      <c r="Q15" s="282">
        <v>4.5</v>
      </c>
      <c r="R15" s="197">
        <f t="shared" si="0"/>
        <v>70.91</v>
      </c>
      <c r="S15" s="207" t="e">
        <f>(R15/#REF!)*100</f>
        <v>#REF!</v>
      </c>
      <c r="T15" s="16" t="s">
        <v>4</v>
      </c>
    </row>
    <row r="16" spans="2:20" ht="12.75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170"/>
      <c r="T16" s="16"/>
    </row>
    <row r="17" spans="2:20" ht="12.75"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170"/>
      <c r="T17" s="16"/>
    </row>
    <row r="18" spans="2:20" ht="11.25">
      <c r="B18" s="228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9"/>
      <c r="S18" s="212"/>
      <c r="T18" s="16"/>
    </row>
    <row r="19" spans="2:19" ht="12.75">
      <c r="B19" s="38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170"/>
    </row>
    <row r="20" spans="2:19" ht="12.75">
      <c r="B20" s="387" t="s">
        <v>218</v>
      </c>
      <c r="C20" s="387"/>
      <c r="D20" s="387"/>
      <c r="E20" s="387"/>
      <c r="F20" s="387"/>
      <c r="G20" s="387"/>
      <c r="H20" s="387"/>
      <c r="I20" s="387"/>
      <c r="J20" s="387"/>
      <c r="K20" s="7"/>
      <c r="L20" s="7"/>
      <c r="M20" s="7"/>
      <c r="N20" s="7"/>
      <c r="O20" s="7"/>
      <c r="P20" s="7"/>
      <c r="Q20" s="7"/>
      <c r="R20" s="171"/>
      <c r="S20" s="170"/>
    </row>
    <row r="22" spans="1:19" ht="11.25">
      <c r="A22" s="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7"/>
    </row>
  </sheetData>
  <mergeCells count="5">
    <mergeCell ref="B20:J20"/>
    <mergeCell ref="B3:S3"/>
    <mergeCell ref="B4:S4"/>
    <mergeCell ref="S5:S6"/>
    <mergeCell ref="B17:R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/>
  <dimension ref="A1:H16"/>
  <sheetViews>
    <sheetView workbookViewId="0" topLeftCell="A1">
      <selection activeCell="E10" sqref="E10"/>
    </sheetView>
  </sheetViews>
  <sheetFormatPr defaultColWidth="9.140625" defaultRowHeight="12.75"/>
  <cols>
    <col min="1" max="1" width="12.8515625" style="30" customWidth="1"/>
    <col min="2" max="16384" width="9.140625" style="30" customWidth="1"/>
  </cols>
  <sheetData>
    <row r="1" ht="11.25">
      <c r="A1" s="52" t="s">
        <v>31</v>
      </c>
    </row>
    <row r="2" ht="11.25">
      <c r="A2" s="29" t="s">
        <v>32</v>
      </c>
    </row>
    <row r="3" ht="11.25">
      <c r="A3" s="52"/>
    </row>
    <row r="4" spans="2:8" ht="11.25">
      <c r="B4" s="37" t="s">
        <v>34</v>
      </c>
      <c r="C4" s="37" t="s">
        <v>36</v>
      </c>
      <c r="D4" s="37" t="s">
        <v>37</v>
      </c>
      <c r="E4" s="37" t="s">
        <v>39</v>
      </c>
      <c r="F4" s="37" t="s">
        <v>53</v>
      </c>
      <c r="G4" s="37" t="s">
        <v>43</v>
      </c>
      <c r="H4" s="37" t="s">
        <v>45</v>
      </c>
    </row>
    <row r="5" spans="1:8" ht="11.25">
      <c r="A5" s="30" t="s">
        <v>22</v>
      </c>
      <c r="B5" s="53">
        <v>4.5</v>
      </c>
      <c r="C5" s="53">
        <v>2.1</v>
      </c>
      <c r="D5" s="53">
        <v>2</v>
      </c>
      <c r="E5" s="20">
        <v>0</v>
      </c>
      <c r="F5" s="53">
        <v>10.5</v>
      </c>
      <c r="G5" s="20">
        <v>0</v>
      </c>
      <c r="H5" s="20">
        <v>0</v>
      </c>
    </row>
    <row r="6" spans="1:8" ht="11.25">
      <c r="A6" s="30" t="s">
        <v>23</v>
      </c>
      <c r="B6" s="20">
        <v>0</v>
      </c>
      <c r="C6" s="53">
        <v>6.4</v>
      </c>
      <c r="D6" s="53">
        <v>7.2</v>
      </c>
      <c r="E6" s="53">
        <v>1</v>
      </c>
      <c r="F6" s="53">
        <v>1.8</v>
      </c>
      <c r="G6" s="20">
        <v>0</v>
      </c>
      <c r="H6" s="53">
        <v>3.5</v>
      </c>
    </row>
    <row r="7" spans="1:8" ht="11.25">
      <c r="A7" s="30" t="s">
        <v>24</v>
      </c>
      <c r="B7" s="53">
        <v>2.3</v>
      </c>
      <c r="C7" s="20">
        <v>0</v>
      </c>
      <c r="D7" s="53">
        <v>10.3</v>
      </c>
      <c r="E7" s="53">
        <v>6.9</v>
      </c>
      <c r="F7" s="53">
        <v>2.9</v>
      </c>
      <c r="G7" s="53">
        <v>0.8</v>
      </c>
      <c r="H7" s="53">
        <v>3.8</v>
      </c>
    </row>
    <row r="8" spans="1:8" ht="11.25">
      <c r="A8" s="30" t="s">
        <v>25</v>
      </c>
      <c r="B8" s="53">
        <v>35.2</v>
      </c>
      <c r="C8" s="53">
        <v>31.2</v>
      </c>
      <c r="D8" s="53">
        <v>15.5</v>
      </c>
      <c r="E8" s="53">
        <v>25.3</v>
      </c>
      <c r="F8" s="53">
        <v>37.5</v>
      </c>
      <c r="G8" s="53">
        <v>36.7</v>
      </c>
      <c r="H8" s="53">
        <v>24.2</v>
      </c>
    </row>
    <row r="9" spans="1:8" ht="11.25">
      <c r="A9" s="30" t="s">
        <v>26</v>
      </c>
      <c r="B9" s="20">
        <v>0</v>
      </c>
      <c r="C9" s="20">
        <v>0</v>
      </c>
      <c r="D9" s="53">
        <v>19.5</v>
      </c>
      <c r="E9" s="20">
        <v>0</v>
      </c>
      <c r="F9" s="20">
        <v>0</v>
      </c>
      <c r="G9" s="20">
        <v>0</v>
      </c>
      <c r="H9" s="20">
        <v>0</v>
      </c>
    </row>
    <row r="10" spans="1:8" ht="11.25">
      <c r="A10" s="30" t="s">
        <v>27</v>
      </c>
      <c r="B10" s="53">
        <v>33.4</v>
      </c>
      <c r="C10" s="53">
        <v>29.6</v>
      </c>
      <c r="D10" s="53">
        <v>21.3</v>
      </c>
      <c r="E10" s="53">
        <v>27.6</v>
      </c>
      <c r="F10" s="53">
        <v>24.7</v>
      </c>
      <c r="G10" s="53">
        <v>17.9</v>
      </c>
      <c r="H10" s="53">
        <v>68.5</v>
      </c>
    </row>
    <row r="11" spans="1:8" ht="11.25">
      <c r="A11" s="30" t="s">
        <v>28</v>
      </c>
      <c r="B11" s="53">
        <v>24.5</v>
      </c>
      <c r="C11" s="53">
        <v>30.7</v>
      </c>
      <c r="D11" s="53">
        <v>24.2</v>
      </c>
      <c r="E11" s="53">
        <v>39.2</v>
      </c>
      <c r="F11" s="53">
        <v>22.7</v>
      </c>
      <c r="G11" s="53">
        <v>44.6</v>
      </c>
      <c r="H11" s="20">
        <v>0</v>
      </c>
    </row>
    <row r="13" spans="1:2" ht="11.25">
      <c r="A13" s="30" t="s">
        <v>51</v>
      </c>
      <c r="B13" s="30" t="s">
        <v>54</v>
      </c>
    </row>
    <row r="16" ht="11.25">
      <c r="A16" s="52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H17"/>
  <sheetViews>
    <sheetView workbookViewId="0" topLeftCell="A1">
      <selection activeCell="A6" sqref="A6:P6"/>
    </sheetView>
  </sheetViews>
  <sheetFormatPr defaultColWidth="9.140625" defaultRowHeight="12.75"/>
  <cols>
    <col min="1" max="1" width="12.8515625" style="0" customWidth="1"/>
  </cols>
  <sheetData>
    <row r="1" ht="12.75">
      <c r="A1" s="1" t="s">
        <v>31</v>
      </c>
    </row>
    <row r="2" ht="12.75">
      <c r="A2" s="1"/>
    </row>
    <row r="3" spans="1:8" ht="12.75">
      <c r="A3" s="1"/>
      <c r="H3" s="36" t="s">
        <v>32</v>
      </c>
    </row>
    <row r="4" spans="1:8" ht="12.75">
      <c r="A4" s="32"/>
      <c r="B4" s="14" t="s">
        <v>8</v>
      </c>
      <c r="C4" s="14" t="s">
        <v>11</v>
      </c>
      <c r="D4" s="14" t="s">
        <v>12</v>
      </c>
      <c r="E4" s="14" t="s">
        <v>14</v>
      </c>
      <c r="F4" s="14" t="s">
        <v>17</v>
      </c>
      <c r="G4" s="14" t="s">
        <v>18</v>
      </c>
      <c r="H4" s="14" t="s">
        <v>20</v>
      </c>
    </row>
    <row r="6" spans="1:8" ht="12.75">
      <c r="A6" s="34" t="s">
        <v>22</v>
      </c>
      <c r="B6" s="22">
        <v>4.5</v>
      </c>
      <c r="C6" s="22">
        <v>2.1</v>
      </c>
      <c r="D6" s="22">
        <v>2</v>
      </c>
      <c r="E6" s="20">
        <v>0</v>
      </c>
      <c r="F6" s="22">
        <v>10.5</v>
      </c>
      <c r="G6" s="20">
        <v>0</v>
      </c>
      <c r="H6" s="20">
        <v>0</v>
      </c>
    </row>
    <row r="7" spans="1:8" ht="12.75">
      <c r="A7" s="34" t="s">
        <v>23</v>
      </c>
      <c r="B7" s="20">
        <v>0</v>
      </c>
      <c r="C7" s="22">
        <v>6.4</v>
      </c>
      <c r="D7" s="22">
        <v>7.2</v>
      </c>
      <c r="E7" s="22">
        <v>1</v>
      </c>
      <c r="F7" s="22">
        <v>1.8</v>
      </c>
      <c r="G7" s="20">
        <v>0</v>
      </c>
      <c r="H7" s="22">
        <v>3.5</v>
      </c>
    </row>
    <row r="8" spans="1:8" ht="12.75">
      <c r="A8" s="34" t="s">
        <v>24</v>
      </c>
      <c r="B8" s="22">
        <v>2.3</v>
      </c>
      <c r="C8" s="20">
        <v>0</v>
      </c>
      <c r="D8" s="22">
        <v>10.3</v>
      </c>
      <c r="E8" s="22">
        <v>6.9</v>
      </c>
      <c r="F8" s="22">
        <v>2.9</v>
      </c>
      <c r="G8" s="22">
        <v>0.8</v>
      </c>
      <c r="H8" s="22">
        <v>3.8</v>
      </c>
    </row>
    <row r="9" spans="1:8" ht="12.75">
      <c r="A9" s="34" t="s">
        <v>25</v>
      </c>
      <c r="B9" s="22">
        <v>35.2</v>
      </c>
      <c r="C9" s="22">
        <v>31.2</v>
      </c>
      <c r="D9" s="22">
        <v>15.5</v>
      </c>
      <c r="E9" s="22">
        <v>25.3</v>
      </c>
      <c r="F9" s="22">
        <v>37.5</v>
      </c>
      <c r="G9" s="22">
        <v>36.7</v>
      </c>
      <c r="H9" s="22">
        <v>24.2</v>
      </c>
    </row>
    <row r="10" spans="1:8" ht="12.75">
      <c r="A10" s="34" t="s">
        <v>26</v>
      </c>
      <c r="B10" s="20">
        <v>0</v>
      </c>
      <c r="C10" s="20">
        <v>0</v>
      </c>
      <c r="D10" s="22">
        <v>19.5</v>
      </c>
      <c r="E10" s="20">
        <v>0</v>
      </c>
      <c r="F10" s="20">
        <v>0</v>
      </c>
      <c r="G10" s="20">
        <v>0</v>
      </c>
      <c r="H10" s="20">
        <v>0</v>
      </c>
    </row>
    <row r="11" spans="1:8" ht="12.75">
      <c r="A11" s="34" t="s">
        <v>27</v>
      </c>
      <c r="B11" s="22">
        <v>33.4</v>
      </c>
      <c r="C11" s="22">
        <v>29.6</v>
      </c>
      <c r="D11" s="22">
        <v>21.3</v>
      </c>
      <c r="E11" s="22">
        <v>27.6</v>
      </c>
      <c r="F11" s="22">
        <v>24.7</v>
      </c>
      <c r="G11" s="22">
        <v>17.9</v>
      </c>
      <c r="H11" s="22">
        <v>68.5</v>
      </c>
    </row>
    <row r="12" spans="1:8" ht="12.75">
      <c r="A12" s="34" t="s">
        <v>28</v>
      </c>
      <c r="B12" s="22">
        <v>24.5</v>
      </c>
      <c r="C12" s="22">
        <v>30.7</v>
      </c>
      <c r="D12" s="22">
        <v>24.2</v>
      </c>
      <c r="E12" s="22">
        <v>39.2</v>
      </c>
      <c r="F12" s="22">
        <v>22.7</v>
      </c>
      <c r="G12" s="22">
        <v>44.6</v>
      </c>
      <c r="H12" s="20">
        <v>0</v>
      </c>
    </row>
    <row r="13" spans="1:8" ht="12.75">
      <c r="A13" s="35"/>
      <c r="B13" s="33"/>
      <c r="C13" s="33"/>
      <c r="D13" s="33"/>
      <c r="E13" s="33"/>
      <c r="F13" s="33"/>
      <c r="G13" s="33"/>
      <c r="H13" s="33"/>
    </row>
    <row r="15" ht="12.75">
      <c r="A15" t="s">
        <v>29</v>
      </c>
    </row>
    <row r="17" ht="12.75">
      <c r="A17" s="1"/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&amp;C&amp;F</oddHeader>
    <oddFooter>&amp;C&amp;A&amp;RPage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A1:U46"/>
  <sheetViews>
    <sheetView workbookViewId="0" topLeftCell="A1">
      <selection activeCell="F45" sqref="F45"/>
    </sheetView>
  </sheetViews>
  <sheetFormatPr defaultColWidth="9.140625" defaultRowHeight="12.75" outlineLevelRow="1"/>
  <cols>
    <col min="1" max="21" width="6.8515625" style="6" customWidth="1"/>
    <col min="22" max="16384" width="9.140625" style="6" customWidth="1"/>
  </cols>
  <sheetData>
    <row r="1" spans="1:17" ht="11.25">
      <c r="A1" s="2" t="s">
        <v>90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1.25">
      <c r="A2" s="29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21" ht="11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  <c r="T3" s="389"/>
      <c r="U3" s="389"/>
    </row>
    <row r="4" spans="1:19" ht="11.25">
      <c r="A4" s="37"/>
      <c r="B4" s="37" t="s">
        <v>5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13</v>
      </c>
      <c r="J4" s="37" t="s">
        <v>14</v>
      </c>
      <c r="K4" s="37" t="s">
        <v>15</v>
      </c>
      <c r="L4" s="37" t="s">
        <v>16</v>
      </c>
      <c r="M4" s="37" t="s">
        <v>17</v>
      </c>
      <c r="N4" s="37" t="s">
        <v>18</v>
      </c>
      <c r="O4" s="37" t="s">
        <v>19</v>
      </c>
      <c r="P4" s="37" t="s">
        <v>20</v>
      </c>
      <c r="Q4" s="37" t="s">
        <v>21</v>
      </c>
      <c r="R4" s="76" t="s">
        <v>93</v>
      </c>
      <c r="S4" s="76"/>
    </row>
    <row r="5" spans="1:21" ht="11.25" hidden="1" outlineLevel="1">
      <c r="A5" s="53">
        <v>1980</v>
      </c>
      <c r="B5" s="28" t="e">
        <f aca="true" t="shared" si="0" ref="B5:B16">SUM(C5:Q5)</f>
        <v>#N/A</v>
      </c>
      <c r="C5" s="28">
        <f>IF(ISNUMBER(basedata_vkm!B25/1000),basedata_vkm!B25/1000,NA())</f>
        <v>36.945</v>
      </c>
      <c r="D5" s="28">
        <f>IF(ISNUMBER(basedata_vkm!C25/1000),basedata_vkm!C25/1000,NA())</f>
        <v>19.355</v>
      </c>
      <c r="E5" s="28">
        <f>IF(ISNUMBER(basedata_vkm!D25/1000),basedata_vkm!D25/1000,NA())</f>
        <v>297.4</v>
      </c>
      <c r="F5" s="28" t="e">
        <f>IF(ISNUMBER(basedata_vkm!E25/1000),basedata_vkm!E25/1000,NA())</f>
        <v>#N/A</v>
      </c>
      <c r="G5" s="28">
        <f>IF(ISNUMBER(basedata_vkm!F25/1000),basedata_vkm!F25/1000,NA())</f>
        <v>53.057</v>
      </c>
      <c r="H5" s="28">
        <f>IF(ISNUMBER(basedata_vkm!G25/1000),basedata_vkm!G25/1000,NA())</f>
        <v>244.6</v>
      </c>
      <c r="I5" s="28">
        <f>IF(ISNUMBER(basedata_vkm!H25/1000),basedata_vkm!H25/1000,NA())</f>
        <v>14.798</v>
      </c>
      <c r="J5" s="28">
        <f>IF(ISNUMBER(basedata_vkm!I25/1000),basedata_vkm!I25/1000,NA())</f>
        <v>190.608</v>
      </c>
      <c r="K5" s="28">
        <f>IF(ISNUMBER(basedata_vkm!J25/1000),basedata_vkm!J25/1000,NA())</f>
        <v>2</v>
      </c>
      <c r="L5" s="28">
        <f>IF(ISNUMBER(basedata_vkm!K25/1000),basedata_vkm!K25/1000,NA())</f>
        <v>61.35</v>
      </c>
      <c r="M5" s="28">
        <f>IF(ISNUMBER(basedata_vkm!L25/1000),basedata_vkm!L25/1000,NA())</f>
        <v>24.186</v>
      </c>
      <c r="N5" s="28">
        <f>IF(ISNUMBER(basedata_vkm!M25/1000),basedata_vkm!M25/1000,NA())</f>
        <v>17.05</v>
      </c>
      <c r="O5" s="28">
        <f>IF(ISNUMBER(basedata_vkm!N25/1000),basedata_vkm!N25/1000,NA())</f>
        <v>22.18</v>
      </c>
      <c r="P5" s="28">
        <f>IF(ISNUMBER(basedata_vkm!O25/1000),basedata_vkm!O25/1000,NA())</f>
        <v>45.19168727966914</v>
      </c>
      <c r="Q5" s="28">
        <f>IF(ISNUMBER(basedata_vkm!P25/1000),basedata_vkm!P25/1000,NA())</f>
        <v>202.105</v>
      </c>
      <c r="R5" s="27">
        <f aca="true" t="shared" si="1" ref="R5:R14">+C5+D5+H5+N5+O5+P5+Q5</f>
        <v>587.4266872796692</v>
      </c>
      <c r="S5" s="27"/>
      <c r="T5" s="58"/>
      <c r="U5" s="58"/>
    </row>
    <row r="6" spans="1:21" ht="11.25" hidden="1" outlineLevel="1">
      <c r="A6" s="53">
        <v>1981</v>
      </c>
      <c r="B6" s="28" t="e">
        <f t="shared" si="0"/>
        <v>#N/A</v>
      </c>
      <c r="C6" s="28" t="e">
        <f>NA()</f>
        <v>#N/A</v>
      </c>
      <c r="D6" s="28" t="e">
        <f>NA()</f>
        <v>#N/A</v>
      </c>
      <c r="E6" s="28" t="e">
        <f>NA()</f>
        <v>#N/A</v>
      </c>
      <c r="F6" s="28" t="e">
        <f>NA()</f>
        <v>#N/A</v>
      </c>
      <c r="G6" s="28" t="e">
        <f>NA()</f>
        <v>#N/A</v>
      </c>
      <c r="H6" s="28" t="e">
        <f>NA()</f>
        <v>#N/A</v>
      </c>
      <c r="I6" s="28" t="e">
        <f>NA()</f>
        <v>#N/A</v>
      </c>
      <c r="J6" s="28" t="e">
        <f>NA()</f>
        <v>#N/A</v>
      </c>
      <c r="K6" s="28" t="e">
        <f>NA()</f>
        <v>#N/A</v>
      </c>
      <c r="L6" s="28" t="e">
        <f>NA()</f>
        <v>#N/A</v>
      </c>
      <c r="M6" s="28" t="e">
        <f>NA()</f>
        <v>#N/A</v>
      </c>
      <c r="N6" s="28" t="e">
        <f>NA()</f>
        <v>#N/A</v>
      </c>
      <c r="O6" s="28" t="e">
        <f>NA()</f>
        <v>#N/A</v>
      </c>
      <c r="P6" s="28" t="e">
        <f>NA()</f>
        <v>#N/A</v>
      </c>
      <c r="Q6" s="28" t="e">
        <f>NA()</f>
        <v>#N/A</v>
      </c>
      <c r="R6" s="27" t="e">
        <f t="shared" si="1"/>
        <v>#N/A</v>
      </c>
      <c r="S6" s="27"/>
      <c r="T6" s="58"/>
      <c r="U6" s="58"/>
    </row>
    <row r="7" spans="1:21" ht="11.25" hidden="1" outlineLevel="1">
      <c r="A7" s="53">
        <v>1982</v>
      </c>
      <c r="B7" s="28" t="e">
        <f t="shared" si="0"/>
        <v>#N/A</v>
      </c>
      <c r="C7" s="28" t="e">
        <f>NA()</f>
        <v>#N/A</v>
      </c>
      <c r="D7" s="28" t="e">
        <f>NA()</f>
        <v>#N/A</v>
      </c>
      <c r="E7" s="28" t="e">
        <f>NA()</f>
        <v>#N/A</v>
      </c>
      <c r="F7" s="28" t="e">
        <f>NA()</f>
        <v>#N/A</v>
      </c>
      <c r="G7" s="28" t="e">
        <f>NA()</f>
        <v>#N/A</v>
      </c>
      <c r="H7" s="28" t="e">
        <f>NA()</f>
        <v>#N/A</v>
      </c>
      <c r="I7" s="28" t="e">
        <f>NA()</f>
        <v>#N/A</v>
      </c>
      <c r="J7" s="28" t="e">
        <f>NA()</f>
        <v>#N/A</v>
      </c>
      <c r="K7" s="28" t="e">
        <f>NA()</f>
        <v>#N/A</v>
      </c>
      <c r="L7" s="28" t="e">
        <f>NA()</f>
        <v>#N/A</v>
      </c>
      <c r="M7" s="28" t="e">
        <f>NA()</f>
        <v>#N/A</v>
      </c>
      <c r="N7" s="28" t="e">
        <f>NA()</f>
        <v>#N/A</v>
      </c>
      <c r="O7" s="28" t="e">
        <f>NA()</f>
        <v>#N/A</v>
      </c>
      <c r="P7" s="28" t="e">
        <f>NA()</f>
        <v>#N/A</v>
      </c>
      <c r="Q7" s="28" t="e">
        <f>NA()</f>
        <v>#N/A</v>
      </c>
      <c r="R7" s="27" t="e">
        <f t="shared" si="1"/>
        <v>#N/A</v>
      </c>
      <c r="S7" s="27"/>
      <c r="T7" s="58"/>
      <c r="U7" s="58"/>
    </row>
    <row r="8" spans="1:21" ht="11.25" hidden="1" outlineLevel="1">
      <c r="A8" s="53">
        <v>1983</v>
      </c>
      <c r="B8" s="28" t="e">
        <f t="shared" si="0"/>
        <v>#N/A</v>
      </c>
      <c r="C8" s="28" t="e">
        <f>NA()</f>
        <v>#N/A</v>
      </c>
      <c r="D8" s="28" t="e">
        <f>NA()</f>
        <v>#N/A</v>
      </c>
      <c r="E8" s="28" t="e">
        <f>NA()</f>
        <v>#N/A</v>
      </c>
      <c r="F8" s="28" t="e">
        <f>NA()</f>
        <v>#N/A</v>
      </c>
      <c r="G8" s="28" t="e">
        <f>NA()</f>
        <v>#N/A</v>
      </c>
      <c r="H8" s="28" t="e">
        <f>NA()</f>
        <v>#N/A</v>
      </c>
      <c r="I8" s="28" t="e">
        <f>NA()</f>
        <v>#N/A</v>
      </c>
      <c r="J8" s="28" t="e">
        <f>NA()</f>
        <v>#N/A</v>
      </c>
      <c r="K8" s="28" t="e">
        <f>NA()</f>
        <v>#N/A</v>
      </c>
      <c r="L8" s="28" t="e">
        <f>NA()</f>
        <v>#N/A</v>
      </c>
      <c r="M8" s="28" t="e">
        <f>NA()</f>
        <v>#N/A</v>
      </c>
      <c r="N8" s="28" t="e">
        <f>NA()</f>
        <v>#N/A</v>
      </c>
      <c r="O8" s="28" t="e">
        <f>NA()</f>
        <v>#N/A</v>
      </c>
      <c r="P8" s="28" t="e">
        <f>NA()</f>
        <v>#N/A</v>
      </c>
      <c r="Q8" s="28" t="e">
        <f>NA()</f>
        <v>#N/A</v>
      </c>
      <c r="R8" s="27" t="e">
        <f t="shared" si="1"/>
        <v>#N/A</v>
      </c>
      <c r="S8" s="27"/>
      <c r="T8" s="58"/>
      <c r="U8" s="58"/>
    </row>
    <row r="9" spans="1:21" ht="11.25" hidden="1" outlineLevel="1">
      <c r="A9" s="53">
        <v>1984</v>
      </c>
      <c r="B9" s="28" t="e">
        <f t="shared" si="0"/>
        <v>#N/A</v>
      </c>
      <c r="C9" s="28" t="e">
        <f>NA()</f>
        <v>#N/A</v>
      </c>
      <c r="D9" s="28" t="e">
        <f>NA()</f>
        <v>#N/A</v>
      </c>
      <c r="E9" s="28" t="e">
        <f>NA()</f>
        <v>#N/A</v>
      </c>
      <c r="F9" s="28" t="e">
        <f>NA()</f>
        <v>#N/A</v>
      </c>
      <c r="G9" s="28" t="e">
        <f>NA()</f>
        <v>#N/A</v>
      </c>
      <c r="H9" s="28" t="e">
        <f>NA()</f>
        <v>#N/A</v>
      </c>
      <c r="I9" s="28" t="e">
        <f>NA()</f>
        <v>#N/A</v>
      </c>
      <c r="J9" s="28" t="e">
        <f>NA()</f>
        <v>#N/A</v>
      </c>
      <c r="K9" s="28" t="e">
        <f>NA()</f>
        <v>#N/A</v>
      </c>
      <c r="L9" s="28" t="e">
        <f>NA()</f>
        <v>#N/A</v>
      </c>
      <c r="M9" s="28" t="e">
        <f>NA()</f>
        <v>#N/A</v>
      </c>
      <c r="N9" s="28" t="e">
        <f>NA()</f>
        <v>#N/A</v>
      </c>
      <c r="O9" s="28" t="e">
        <f>NA()</f>
        <v>#N/A</v>
      </c>
      <c r="P9" s="28" t="e">
        <f>NA()</f>
        <v>#N/A</v>
      </c>
      <c r="Q9" s="28" t="e">
        <f>NA()</f>
        <v>#N/A</v>
      </c>
      <c r="R9" s="27" t="e">
        <f t="shared" si="1"/>
        <v>#N/A</v>
      </c>
      <c r="S9" s="27"/>
      <c r="T9" s="58"/>
      <c r="U9" s="58"/>
    </row>
    <row r="10" spans="1:21" ht="11.25" hidden="1" outlineLevel="1">
      <c r="A10" s="53">
        <v>1985</v>
      </c>
      <c r="B10" s="28" t="e">
        <f t="shared" si="0"/>
        <v>#N/A</v>
      </c>
      <c r="C10" s="28">
        <f>IF(ISNUMBER(basedata_vkm!B26/1000),basedata_vkm!B26/1000,NA())</f>
        <v>41.76</v>
      </c>
      <c r="D10" s="28">
        <f>IF(ISNUMBER(basedata_vkm!C26/1000),basedata_vkm!C26/1000,NA())</f>
        <v>22.322</v>
      </c>
      <c r="E10" s="28">
        <f>IF(ISNUMBER(basedata_vkm!D26/1000),basedata_vkm!D26/1000,NA())</f>
        <v>313.4</v>
      </c>
      <c r="F10" s="28" t="e">
        <f>IF(ISNUMBER(basedata_vkm!E26/1000),basedata_vkm!E26/1000,NA())</f>
        <v>#N/A</v>
      </c>
      <c r="G10" s="28">
        <f>IF(ISNUMBER(basedata_vkm!F26/1000),basedata_vkm!F26/1000,NA())</f>
        <v>59.371</v>
      </c>
      <c r="H10" s="28">
        <f>IF(ISNUMBER(basedata_vkm!G26/1000),basedata_vkm!G26/1000,NA())</f>
        <v>267</v>
      </c>
      <c r="I10" s="28" t="e">
        <f>IF(ISNUMBER(basedata_vkm!H26/1000),basedata_vkm!H26/1000,NA())</f>
        <v>#N/A</v>
      </c>
      <c r="J10" s="28">
        <f>IF(ISNUMBER(basedata_vkm!I26/1000),basedata_vkm!I26/1000,NA())</f>
        <v>213.543</v>
      </c>
      <c r="K10" s="28">
        <f>IF(ISNUMBER(basedata_vkm!J26/1000),basedata_vkm!J26/1000,NA())</f>
        <v>2.2</v>
      </c>
      <c r="L10" s="28">
        <f>IF(ISNUMBER(basedata_vkm!K26/1000),basedata_vkm!K26/1000,NA())</f>
        <v>64.95</v>
      </c>
      <c r="M10" s="28">
        <f>IF(ISNUMBER(basedata_vkm!L26/1000),basedata_vkm!L26/1000,NA())</f>
        <v>28.018</v>
      </c>
      <c r="N10" s="28">
        <f>IF(ISNUMBER(basedata_vkm!M26/1000),basedata_vkm!M26/1000,NA())</f>
        <v>22.5</v>
      </c>
      <c r="O10" s="28">
        <f>IF(ISNUMBER(basedata_vkm!N26/1000),basedata_vkm!N26/1000,NA())</f>
        <v>25.97</v>
      </c>
      <c r="P10" s="28">
        <f>IF(ISNUMBER(basedata_vkm!O26/1000),basedata_vkm!O26/1000,NA())</f>
        <v>47.789991870378216</v>
      </c>
      <c r="Q10" s="28">
        <f>IF(ISNUMBER(basedata_vkm!P26/1000),basedata_vkm!P26/1000,NA())</f>
        <v>250.46</v>
      </c>
      <c r="R10" s="27">
        <f t="shared" si="1"/>
        <v>677.8019918703783</v>
      </c>
      <c r="S10" s="27"/>
      <c r="T10" s="58"/>
      <c r="U10" s="58"/>
    </row>
    <row r="11" spans="1:21" ht="11.25" hidden="1" outlineLevel="1">
      <c r="A11" s="53">
        <v>1986</v>
      </c>
      <c r="B11" s="28" t="e">
        <f t="shared" si="0"/>
        <v>#N/A</v>
      </c>
      <c r="C11" s="28" t="e">
        <f>NA()</f>
        <v>#N/A</v>
      </c>
      <c r="D11" s="28" t="e">
        <f>NA()</f>
        <v>#N/A</v>
      </c>
      <c r="E11" s="28" t="e">
        <f>NA()</f>
        <v>#N/A</v>
      </c>
      <c r="F11" s="28" t="e">
        <f>NA()</f>
        <v>#N/A</v>
      </c>
      <c r="G11" s="28" t="e">
        <f>NA()</f>
        <v>#N/A</v>
      </c>
      <c r="H11" s="28" t="e">
        <f>NA()</f>
        <v>#N/A</v>
      </c>
      <c r="I11" s="28" t="e">
        <f>NA()</f>
        <v>#N/A</v>
      </c>
      <c r="J11" s="28" t="e">
        <f>NA()</f>
        <v>#N/A</v>
      </c>
      <c r="K11" s="28" t="e">
        <f>NA()</f>
        <v>#N/A</v>
      </c>
      <c r="L11" s="28" t="e">
        <f>NA()</f>
        <v>#N/A</v>
      </c>
      <c r="M11" s="28" t="e">
        <f>NA()</f>
        <v>#N/A</v>
      </c>
      <c r="N11" s="28" t="e">
        <f>NA()</f>
        <v>#N/A</v>
      </c>
      <c r="O11" s="28" t="e">
        <f>NA()</f>
        <v>#N/A</v>
      </c>
      <c r="P11" s="28" t="e">
        <f>NA()</f>
        <v>#N/A</v>
      </c>
      <c r="Q11" s="28" t="e">
        <f>NA()</f>
        <v>#N/A</v>
      </c>
      <c r="R11" s="27" t="e">
        <f t="shared" si="1"/>
        <v>#N/A</v>
      </c>
      <c r="S11" s="27"/>
      <c r="T11" s="58"/>
      <c r="U11" s="58"/>
    </row>
    <row r="12" spans="1:21" ht="11.25" hidden="1" outlineLevel="1">
      <c r="A12" s="53">
        <v>1987</v>
      </c>
      <c r="B12" s="28" t="e">
        <f t="shared" si="0"/>
        <v>#N/A</v>
      </c>
      <c r="C12" s="28" t="e">
        <f>NA()</f>
        <v>#N/A</v>
      </c>
      <c r="D12" s="28" t="e">
        <f>NA()</f>
        <v>#N/A</v>
      </c>
      <c r="E12" s="28" t="e">
        <f>NA()</f>
        <v>#N/A</v>
      </c>
      <c r="F12" s="28" t="e">
        <f>NA()</f>
        <v>#N/A</v>
      </c>
      <c r="G12" s="28" t="e">
        <f>NA()</f>
        <v>#N/A</v>
      </c>
      <c r="H12" s="28" t="e">
        <f>NA()</f>
        <v>#N/A</v>
      </c>
      <c r="I12" s="28" t="e">
        <f>NA()</f>
        <v>#N/A</v>
      </c>
      <c r="J12" s="28" t="e">
        <f>NA()</f>
        <v>#N/A</v>
      </c>
      <c r="K12" s="28" t="e">
        <f>NA()</f>
        <v>#N/A</v>
      </c>
      <c r="L12" s="28" t="e">
        <f>NA()</f>
        <v>#N/A</v>
      </c>
      <c r="M12" s="28" t="e">
        <f>NA()</f>
        <v>#N/A</v>
      </c>
      <c r="N12" s="28" t="e">
        <f>NA()</f>
        <v>#N/A</v>
      </c>
      <c r="O12" s="28" t="e">
        <f>NA()</f>
        <v>#N/A</v>
      </c>
      <c r="P12" s="28" t="e">
        <f>NA()</f>
        <v>#N/A</v>
      </c>
      <c r="Q12" s="28" t="e">
        <f>NA()</f>
        <v>#N/A</v>
      </c>
      <c r="R12" s="27" t="e">
        <f t="shared" si="1"/>
        <v>#N/A</v>
      </c>
      <c r="S12" s="27"/>
      <c r="T12" s="58"/>
      <c r="U12" s="58"/>
    </row>
    <row r="13" spans="1:21" ht="11.25" hidden="1" outlineLevel="1">
      <c r="A13" s="53">
        <v>1988</v>
      </c>
      <c r="B13" s="28" t="e">
        <f t="shared" si="0"/>
        <v>#N/A</v>
      </c>
      <c r="C13" s="28" t="e">
        <f>NA()</f>
        <v>#N/A</v>
      </c>
      <c r="D13" s="28" t="e">
        <f>NA()</f>
        <v>#N/A</v>
      </c>
      <c r="E13" s="28" t="e">
        <f>NA()</f>
        <v>#N/A</v>
      </c>
      <c r="F13" s="28" t="e">
        <f>NA()</f>
        <v>#N/A</v>
      </c>
      <c r="G13" s="28" t="e">
        <f>NA()</f>
        <v>#N/A</v>
      </c>
      <c r="H13" s="28" t="e">
        <f>NA()</f>
        <v>#N/A</v>
      </c>
      <c r="I13" s="28" t="e">
        <f>NA()</f>
        <v>#N/A</v>
      </c>
      <c r="J13" s="28" t="e">
        <f>NA()</f>
        <v>#N/A</v>
      </c>
      <c r="K13" s="28" t="e">
        <f>NA()</f>
        <v>#N/A</v>
      </c>
      <c r="L13" s="28" t="e">
        <f>NA()</f>
        <v>#N/A</v>
      </c>
      <c r="M13" s="28" t="e">
        <f>NA()</f>
        <v>#N/A</v>
      </c>
      <c r="N13" s="28" t="e">
        <f>NA()</f>
        <v>#N/A</v>
      </c>
      <c r="O13" s="28" t="e">
        <f>NA()</f>
        <v>#N/A</v>
      </c>
      <c r="P13" s="28" t="e">
        <f>NA()</f>
        <v>#N/A</v>
      </c>
      <c r="Q13" s="28" t="e">
        <f>NA()</f>
        <v>#N/A</v>
      </c>
      <c r="R13" s="27" t="e">
        <f t="shared" si="1"/>
        <v>#N/A</v>
      </c>
      <c r="S13" s="27"/>
      <c r="T13" s="58"/>
      <c r="U13" s="58"/>
    </row>
    <row r="14" spans="1:21" ht="11.25" hidden="1" outlineLevel="1">
      <c r="A14" s="53">
        <v>1989</v>
      </c>
      <c r="B14" s="28" t="e">
        <f t="shared" si="0"/>
        <v>#N/A</v>
      </c>
      <c r="C14" s="28" t="e">
        <f>NA()</f>
        <v>#N/A</v>
      </c>
      <c r="D14" s="28" t="e">
        <f>NA()</f>
        <v>#N/A</v>
      </c>
      <c r="E14" s="28" t="e">
        <f>NA()</f>
        <v>#N/A</v>
      </c>
      <c r="F14" s="28" t="e">
        <f>NA()</f>
        <v>#N/A</v>
      </c>
      <c r="G14" s="28" t="e">
        <f>NA()</f>
        <v>#N/A</v>
      </c>
      <c r="H14" s="28" t="e">
        <f>NA()</f>
        <v>#N/A</v>
      </c>
      <c r="I14" s="28" t="e">
        <f>NA()</f>
        <v>#N/A</v>
      </c>
      <c r="J14" s="28" t="e">
        <f>NA()</f>
        <v>#N/A</v>
      </c>
      <c r="K14" s="28" t="e">
        <f>NA()</f>
        <v>#N/A</v>
      </c>
      <c r="L14" s="28" t="e">
        <f>NA()</f>
        <v>#N/A</v>
      </c>
      <c r="M14" s="28" t="e">
        <f>NA()</f>
        <v>#N/A</v>
      </c>
      <c r="N14" s="28" t="e">
        <f>NA()</f>
        <v>#N/A</v>
      </c>
      <c r="O14" s="28" t="e">
        <f>NA()</f>
        <v>#N/A</v>
      </c>
      <c r="P14" s="28" t="e">
        <f>NA()</f>
        <v>#N/A</v>
      </c>
      <c r="Q14" s="28" t="e">
        <f>NA()</f>
        <v>#N/A</v>
      </c>
      <c r="R14" s="27" t="e">
        <f t="shared" si="1"/>
        <v>#N/A</v>
      </c>
      <c r="S14" s="27"/>
      <c r="T14" s="58"/>
      <c r="U14" s="58"/>
    </row>
    <row r="15" spans="1:21" ht="11.25" collapsed="1">
      <c r="A15" s="53">
        <v>1990</v>
      </c>
      <c r="B15" s="28" t="e">
        <f t="shared" si="0"/>
        <v>#N/A</v>
      </c>
      <c r="C15" s="28">
        <f>IF(ISNUMBER(basedata_vkm!B27/1000),basedata_vkm!B27/1000,NA())</f>
        <v>54.898</v>
      </c>
      <c r="D15" s="28">
        <f>IF(ISNUMBER(basedata_vkm!C27/1000),basedata_vkm!C27/1000,NA())</f>
        <v>27.968</v>
      </c>
      <c r="E15" s="28">
        <f>IF(ISNUMBER(basedata_vkm!D27/1000),basedata_vkm!D27/1000,NA())</f>
        <v>431.488</v>
      </c>
      <c r="F15" s="28" t="e">
        <f>IF(ISNUMBER(basedata_vkm!E27/1000),basedata_vkm!E27/1000,NA())</f>
        <v>#N/A</v>
      </c>
      <c r="G15" s="28">
        <f>IF(ISNUMBER(basedata_vkm!F27/1000),basedata_vkm!F27/1000,NA())</f>
        <v>86.213</v>
      </c>
      <c r="H15" s="28">
        <f>IF(ISNUMBER(basedata_vkm!G27/1000),basedata_vkm!G27/1000,NA())</f>
        <v>311</v>
      </c>
      <c r="I15" s="28">
        <f>IF(ISNUMBER(basedata_vkm!H27/1000),basedata_vkm!H27/1000,NA())</f>
        <v>19.271</v>
      </c>
      <c r="J15" s="28">
        <f>IF(ISNUMBER(basedata_vkm!I27/1000),basedata_vkm!I27/1000,NA())</f>
        <v>277.975</v>
      </c>
      <c r="K15" s="28">
        <f>IF(ISNUMBER(basedata_vkm!J27/1000),basedata_vkm!J27/1000,NA())</f>
        <v>2.971</v>
      </c>
      <c r="L15" s="28">
        <f>IF(ISNUMBER(basedata_vkm!K27/1000),basedata_vkm!K27/1000,NA())</f>
        <v>76.955</v>
      </c>
      <c r="M15" s="28">
        <f>IF(ISNUMBER(basedata_vkm!L27/1000),basedata_vkm!L27/1000,NA())</f>
        <v>31.851</v>
      </c>
      <c r="N15" s="28">
        <f>IF(ISNUMBER(basedata_vkm!M27/1000),basedata_vkm!M27/1000,NA())</f>
        <v>26</v>
      </c>
      <c r="O15" s="28">
        <f>IF(ISNUMBER(basedata_vkm!N27/1000),basedata_vkm!N27/1000,NA())</f>
        <v>33.43</v>
      </c>
      <c r="P15" s="28">
        <f>IF(ISNUMBER(basedata_vkm!O27/1000),basedata_vkm!O27/1000,NA())</f>
        <v>54.61393953563869</v>
      </c>
      <c r="Q15" s="28">
        <f>IF(ISNUMBER(basedata_vkm!P27/1000),basedata_vkm!P27/1000,NA())</f>
        <v>330.74</v>
      </c>
      <c r="R15" s="27">
        <f>+C15+D15+H15+N15+O15+P15+Q15</f>
        <v>838.6499395356386</v>
      </c>
      <c r="S15" s="27"/>
      <c r="T15" s="58"/>
      <c r="U15" s="58"/>
    </row>
    <row r="16" spans="1:21" ht="11.25">
      <c r="A16" s="53">
        <v>1991</v>
      </c>
      <c r="B16" s="28" t="e">
        <f t="shared" si="0"/>
        <v>#N/A</v>
      </c>
      <c r="C16" s="28">
        <f>IF(ISNUMBER(basedata_vkm!B28/1000),basedata_vkm!B28/1000,NA())</f>
        <v>57.482</v>
      </c>
      <c r="D16" s="28">
        <f>IF(ISNUMBER(basedata_vkm!C28/1000),basedata_vkm!C28/1000,NA())</f>
        <v>28.902</v>
      </c>
      <c r="E16" s="28">
        <f>IF(ISNUMBER(basedata_vkm!D28/1000),basedata_vkm!D28/1000,NA())</f>
        <v>496.41</v>
      </c>
      <c r="F16" s="28" t="e">
        <f>IF(ISNUMBER(basedata_vkm!E28/1000),basedata_vkm!E28/1000,NA())</f>
        <v>#N/A</v>
      </c>
      <c r="G16" s="28">
        <f>IF(ISNUMBER(basedata_vkm!F28/1000),basedata_vkm!F28/1000,NA())</f>
        <v>90.386</v>
      </c>
      <c r="H16" s="28">
        <f>IF(ISNUMBER(basedata_vkm!G28/1000),basedata_vkm!G28/1000,NA())</f>
        <v>325</v>
      </c>
      <c r="I16" s="28">
        <f>IF(ISNUMBER(basedata_vkm!H28/1000),basedata_vkm!H28/1000,NA())</f>
        <v>19.712</v>
      </c>
      <c r="J16" s="28">
        <f>IF(ISNUMBER(basedata_vkm!I28/1000),basedata_vkm!I28/1000,NA())</f>
        <v>286.311</v>
      </c>
      <c r="K16" s="28">
        <f>IF(ISNUMBER(basedata_vkm!J28/1000),basedata_vkm!J28/1000,NA())</f>
        <v>3.231</v>
      </c>
      <c r="L16" s="28">
        <f>IF(ISNUMBER(basedata_vkm!K28/1000),basedata_vkm!K28/1000,NA())</f>
        <v>77.785</v>
      </c>
      <c r="M16" s="28">
        <f>IF(ISNUMBER(basedata_vkm!L28/1000),basedata_vkm!L28/1000,NA())</f>
        <v>32.617</v>
      </c>
      <c r="N16" s="28">
        <f>IF(ISNUMBER(basedata_vkm!M28/1000),basedata_vkm!M28/1000,NA())</f>
        <v>27</v>
      </c>
      <c r="O16" s="28">
        <f>IF(ISNUMBER(basedata_vkm!N28/1000),basedata_vkm!N28/1000,NA())</f>
        <v>33.13</v>
      </c>
      <c r="P16" s="28">
        <f>IF(ISNUMBER(basedata_vkm!O28/1000),basedata_vkm!O28/1000,NA())</f>
        <v>55.0119911373611</v>
      </c>
      <c r="Q16" s="28">
        <f>IF(ISNUMBER(basedata_vkm!P28/1000),basedata_vkm!P28/1000,NA())</f>
        <v>344</v>
      </c>
      <c r="R16" s="27">
        <f aca="true" t="shared" si="2" ref="R16:R26">+C16+D16+H16+N16+O16+P16+Q16</f>
        <v>870.5259911373611</v>
      </c>
      <c r="S16" s="27"/>
      <c r="T16" s="58"/>
      <c r="U16" s="58"/>
    </row>
    <row r="17" spans="1:21" ht="11.25">
      <c r="A17" s="53">
        <v>1992</v>
      </c>
      <c r="B17" s="28" t="e">
        <f>SUM(C17:Q17)</f>
        <v>#N/A</v>
      </c>
      <c r="C17" s="28">
        <f>IF(ISNUMBER(basedata_vkm!B29/1000),basedata_vkm!B29/1000,NA())</f>
        <v>58.722</v>
      </c>
      <c r="D17" s="28">
        <f>IF(ISNUMBER(basedata_vkm!C29/1000),basedata_vkm!C29/1000,NA())</f>
        <v>29.579</v>
      </c>
      <c r="E17" s="28">
        <f>IF(ISNUMBER(basedata_vkm!D29/1000),basedata_vkm!D29/1000,NA())</f>
        <v>509.958</v>
      </c>
      <c r="F17" s="28" t="e">
        <f>IF(ISNUMBER(basedata_vkm!E29/1000),basedata_vkm!E29/1000,NA())</f>
        <v>#N/A</v>
      </c>
      <c r="G17" s="28">
        <f>IF(ISNUMBER(basedata_vkm!F29/1000),basedata_vkm!F29/1000,NA())</f>
        <v>65.783</v>
      </c>
      <c r="H17" s="28">
        <f>IF(ISNUMBER(basedata_vkm!G29/1000),basedata_vkm!G29/1000,NA())</f>
        <v>334</v>
      </c>
      <c r="I17" s="28">
        <f>IF(ISNUMBER(basedata_vkm!H29/1000),basedata_vkm!H29/1000,NA())</f>
        <v>20.54</v>
      </c>
      <c r="J17" s="28">
        <f>IF(ISNUMBER(basedata_vkm!I29/1000),basedata_vkm!I29/1000,NA())</f>
        <v>316.951</v>
      </c>
      <c r="K17" s="28" t="e">
        <f>IF(ISNUMBER(basedata_vkm!J29/1000),basedata_vkm!J29/1000,NA())</f>
        <v>#N/A</v>
      </c>
      <c r="L17" s="28">
        <f>IF(ISNUMBER(basedata_vkm!K29/1000),basedata_vkm!K29/1000,NA())</f>
        <v>83.325</v>
      </c>
      <c r="M17" s="28">
        <f>IF(ISNUMBER(basedata_vkm!L29/1000),basedata_vkm!L29/1000,NA())</f>
        <v>33.384</v>
      </c>
      <c r="N17" s="28">
        <f>IF(ISNUMBER(basedata_vkm!M29/1000),basedata_vkm!M29/1000,NA())</f>
        <v>30.3</v>
      </c>
      <c r="O17" s="28">
        <f>IF(ISNUMBER(basedata_vkm!N29/1000),basedata_vkm!N29/1000,NA())</f>
        <v>36.05</v>
      </c>
      <c r="P17" s="28">
        <f>IF(ISNUMBER(basedata_vkm!O29/1000),basedata_vkm!O29/1000,NA())</f>
        <v>55.60377711026716</v>
      </c>
      <c r="Q17" s="28">
        <f>IF(ISNUMBER(basedata_vkm!P29/1000),basedata_vkm!P29/1000,NA())</f>
        <v>349.216</v>
      </c>
      <c r="R17" s="27">
        <f t="shared" si="2"/>
        <v>893.4707771102671</v>
      </c>
      <c r="S17" s="27"/>
      <c r="T17" s="58"/>
      <c r="U17" s="58"/>
    </row>
    <row r="18" spans="1:21" ht="11.25">
      <c r="A18" s="53">
        <v>1993</v>
      </c>
      <c r="B18" s="28" t="e">
        <f aca="true" t="shared" si="3" ref="B18:B26">SUM(C18:Q18)</f>
        <v>#N/A</v>
      </c>
      <c r="C18" s="28" t="e">
        <f>IF(ISNUMBER(basedata_vkm!B30/1000),basedata_vkm!B30/1000,NA())</f>
        <v>#N/A</v>
      </c>
      <c r="D18" s="28">
        <f>IF(ISNUMBER(basedata_vkm!C30/1000),basedata_vkm!C30/1000,NA())</f>
        <v>30.015</v>
      </c>
      <c r="E18" s="28">
        <f>IF(ISNUMBER(basedata_vkm!D30/1000),basedata_vkm!D30/1000,NA())</f>
        <v>517.823</v>
      </c>
      <c r="F18" s="28" t="e">
        <f>IF(ISNUMBER(basedata_vkm!E30/1000),basedata_vkm!E30/1000,NA())</f>
        <v>#N/A</v>
      </c>
      <c r="G18" s="28">
        <f>IF(ISNUMBER(basedata_vkm!F30/1000),basedata_vkm!F30/1000,NA())</f>
        <v>98.162</v>
      </c>
      <c r="H18" s="28">
        <f>IF(ISNUMBER(basedata_vkm!G30/1000),basedata_vkm!G30/1000,NA())</f>
        <v>340</v>
      </c>
      <c r="I18" s="28">
        <f>IF(ISNUMBER(basedata_vkm!H30/1000),basedata_vkm!H30/1000,NA())</f>
        <v>21.558</v>
      </c>
      <c r="J18" s="28" t="e">
        <f>IF(ISNUMBER(basedata_vkm!I30/1000),basedata_vkm!I30/1000,NA())</f>
        <v>#N/A</v>
      </c>
      <c r="K18" s="28" t="e">
        <f>IF(ISNUMBER(basedata_vkm!J30/1000),basedata_vkm!J30/1000,NA())</f>
        <v>#N/A</v>
      </c>
      <c r="L18" s="28">
        <f>IF(ISNUMBER(basedata_vkm!K30/1000),basedata_vkm!K30/1000,NA())</f>
        <v>85.336</v>
      </c>
      <c r="M18" s="28" t="e">
        <f>IF(ISNUMBER(basedata_vkm!L30/1000),basedata_vkm!L30/1000,NA())</f>
        <v>#N/A</v>
      </c>
      <c r="N18" s="28">
        <f>IF(ISNUMBER(basedata_vkm!M30/1000),basedata_vkm!M30/1000,NA())</f>
        <v>33.15</v>
      </c>
      <c r="O18" s="28">
        <f>IF(ISNUMBER(basedata_vkm!N30/1000),basedata_vkm!N30/1000,NA())</f>
        <v>35.66</v>
      </c>
      <c r="P18" s="28">
        <f>IF(ISNUMBER(basedata_vkm!O30/1000),basedata_vkm!O30/1000,NA())</f>
        <v>54.45952491393336</v>
      </c>
      <c r="Q18" s="28">
        <f>IF(ISNUMBER(basedata_vkm!P30/1000),basedata_vkm!P30/1000,NA())</f>
        <v>386.974</v>
      </c>
      <c r="R18" s="27" t="e">
        <f t="shared" si="2"/>
        <v>#N/A</v>
      </c>
      <c r="S18" s="27"/>
      <c r="T18" s="58"/>
      <c r="U18" s="58"/>
    </row>
    <row r="19" spans="1:21" ht="11.25">
      <c r="A19" s="53">
        <v>1994</v>
      </c>
      <c r="B19" s="28" t="e">
        <f t="shared" si="3"/>
        <v>#N/A</v>
      </c>
      <c r="C19" s="28">
        <f>IF(ISNUMBER(basedata_vkm!B31/1000),basedata_vkm!B31/1000,NA())</f>
        <v>79.3</v>
      </c>
      <c r="D19" s="28">
        <f>IF(ISNUMBER(basedata_vkm!C31/1000),basedata_vkm!C31/1000,NA())</f>
        <v>30.925</v>
      </c>
      <c r="E19" s="28">
        <f>IF(ISNUMBER(basedata_vkm!D31/1000),basedata_vkm!D31/1000,NA())</f>
        <v>505.705</v>
      </c>
      <c r="F19" s="28" t="e">
        <f>IF(ISNUMBER(basedata_vkm!E31/1000),basedata_vkm!E31/1000,NA())</f>
        <v>#N/A</v>
      </c>
      <c r="G19" s="28">
        <f>IF(ISNUMBER(basedata_vkm!F31/1000),basedata_vkm!F31/1000,NA())</f>
        <v>101.558</v>
      </c>
      <c r="H19" s="28">
        <f>IF(ISNUMBER(basedata_vkm!G31/1000),basedata_vkm!G31/1000,NA())</f>
        <v>352</v>
      </c>
      <c r="I19" s="28">
        <f>IF(ISNUMBER(basedata_vkm!H31/1000),basedata_vkm!H31/1000,NA())</f>
        <v>22.894</v>
      </c>
      <c r="J19" s="28" t="e">
        <f>IF(ISNUMBER(basedata_vkm!I31/1000),basedata_vkm!I31/1000,NA())</f>
        <v>#N/A</v>
      </c>
      <c r="K19" s="28" t="e">
        <f>IF(ISNUMBER(basedata_vkm!J31/1000),basedata_vkm!J31/1000,NA())</f>
        <v>#N/A</v>
      </c>
      <c r="L19" s="28">
        <f>IF(ISNUMBER(basedata_vkm!K31/1000),basedata_vkm!K31/1000,NA())</f>
        <v>89.094</v>
      </c>
      <c r="M19" s="28" t="e">
        <f>IF(ISNUMBER(basedata_vkm!L31/1000),basedata_vkm!L31/1000,NA())</f>
        <v>#N/A</v>
      </c>
      <c r="N19" s="28">
        <f>IF(ISNUMBER(basedata_vkm!M31/1000),basedata_vkm!M31/1000,NA())</f>
        <v>36</v>
      </c>
      <c r="O19" s="28">
        <f>IF(ISNUMBER(basedata_vkm!N31/1000),basedata_vkm!N31/1000,NA())</f>
        <v>35.4</v>
      </c>
      <c r="P19" s="28">
        <f>IF(ISNUMBER(basedata_vkm!O31/1000),basedata_vkm!O31/1000,NA())</f>
        <v>55.183617314437704</v>
      </c>
      <c r="Q19" s="28">
        <f>IF(ISNUMBER(basedata_vkm!P31/1000),basedata_vkm!P31/1000,NA())</f>
        <v>395.364</v>
      </c>
      <c r="R19" s="27">
        <f t="shared" si="2"/>
        <v>984.1726173144377</v>
      </c>
      <c r="S19" s="27"/>
      <c r="T19" s="58"/>
      <c r="U19" s="58"/>
    </row>
    <row r="20" spans="1:21" ht="11.25">
      <c r="A20" s="53">
        <v>1995</v>
      </c>
      <c r="B20" s="28" t="e">
        <f t="shared" si="3"/>
        <v>#N/A</v>
      </c>
      <c r="C20" s="28">
        <f>IF(ISNUMBER(basedata_vkm!B32/1000),basedata_vkm!B32/1000,NA())</f>
        <v>67.68</v>
      </c>
      <c r="D20" s="28">
        <f>IF(ISNUMBER(basedata_vkm!C32/1000),basedata_vkm!C32/1000,NA())</f>
        <v>32.193</v>
      </c>
      <c r="E20" s="28">
        <f>IF(ISNUMBER(basedata_vkm!D32/1000),basedata_vkm!D32/1000,NA())</f>
        <v>514.414</v>
      </c>
      <c r="F20" s="28" t="e">
        <f>IF(ISNUMBER(basedata_vkm!E32/1000),basedata_vkm!E32/1000,NA())</f>
        <v>#N/A</v>
      </c>
      <c r="G20" s="28" t="e">
        <f>IF(ISNUMBER(basedata_vkm!F32/1000),basedata_vkm!F32/1000,NA())</f>
        <v>#N/A</v>
      </c>
      <c r="H20" s="28">
        <f>IF(ISNUMBER(basedata_vkm!G32/1000),basedata_vkm!G32/1000,NA())</f>
        <v>359.1</v>
      </c>
      <c r="I20" s="28">
        <f>IF(ISNUMBER(basedata_vkm!H32/1000),basedata_vkm!H32/1000,NA())</f>
        <v>24.826</v>
      </c>
      <c r="J20" s="28" t="e">
        <f>IF(ISNUMBER(basedata_vkm!I32/1000),basedata_vkm!I32/1000,NA())</f>
        <v>#N/A</v>
      </c>
      <c r="K20" s="28" t="e">
        <f>IF(ISNUMBER(basedata_vkm!J32/1000),basedata_vkm!J32/1000,NA())</f>
        <v>#N/A</v>
      </c>
      <c r="L20" s="28">
        <f>IF(ISNUMBER(basedata_vkm!K32/1000),basedata_vkm!K32/1000,NA())</f>
        <v>89.973</v>
      </c>
      <c r="M20" s="28" t="e">
        <f>IF(ISNUMBER(basedata_vkm!L32/1000),basedata_vkm!L32/1000,NA())</f>
        <v>#N/A</v>
      </c>
      <c r="N20" s="28">
        <f>IF(ISNUMBER(basedata_vkm!M32/1000),basedata_vkm!M32/1000,NA())</f>
        <v>38.4</v>
      </c>
      <c r="O20" s="28">
        <f>IF(ISNUMBER(basedata_vkm!N32/1000),basedata_vkm!N32/1000,NA())</f>
        <v>35.76</v>
      </c>
      <c r="P20" s="28">
        <f>IF(ISNUMBER(basedata_vkm!O32/1000),basedata_vkm!O32/1000,NA())</f>
        <v>56.278889731533646</v>
      </c>
      <c r="Q20" s="28">
        <f>IF(ISNUMBER(basedata_vkm!P32/1000),basedata_vkm!P32/1000,NA())</f>
        <v>405.113</v>
      </c>
      <c r="R20" s="27">
        <f t="shared" si="2"/>
        <v>994.5248897315337</v>
      </c>
      <c r="S20" s="27"/>
      <c r="T20" s="58"/>
      <c r="U20" s="58"/>
    </row>
    <row r="21" spans="1:21" ht="11.25">
      <c r="A21" s="53">
        <v>1996</v>
      </c>
      <c r="B21" s="28" t="e">
        <f t="shared" si="3"/>
        <v>#N/A</v>
      </c>
      <c r="C21" s="28">
        <f>IF(ISNUMBER(basedata_vkm!B33/1000),basedata_vkm!B33/1000,NA())</f>
        <v>68.59</v>
      </c>
      <c r="D21" s="28">
        <f>IF(ISNUMBER(basedata_vkm!C33/1000),basedata_vkm!C33/1000,NA())</f>
        <v>33.184</v>
      </c>
      <c r="E21" s="28">
        <f>IF(ISNUMBER(basedata_vkm!D33/1000),basedata_vkm!D33/1000,NA())</f>
        <v>517</v>
      </c>
      <c r="F21" s="28" t="e">
        <f>IF(ISNUMBER(basedata_vkm!E33/1000),basedata_vkm!E33/1000,NA())</f>
        <v>#N/A</v>
      </c>
      <c r="G21" s="28" t="e">
        <f>IF(ISNUMBER(basedata_vkm!F33/1000),basedata_vkm!F33/1000,NA())</f>
        <v>#N/A</v>
      </c>
      <c r="H21" s="28">
        <f>IF(ISNUMBER(basedata_vkm!G33/1000),basedata_vkm!G33/1000,NA())</f>
        <v>364.4</v>
      </c>
      <c r="I21" s="28">
        <f>IF(ISNUMBER(basedata_vkm!H33/1000),basedata_vkm!H33/1000,NA())</f>
        <v>27.312</v>
      </c>
      <c r="J21" s="28" t="e">
        <f>IF(ISNUMBER(basedata_vkm!I33/1000),basedata_vkm!I33/1000,NA())</f>
        <v>#N/A</v>
      </c>
      <c r="K21" s="28" t="e">
        <f>IF(ISNUMBER(basedata_vkm!J33/1000),basedata_vkm!J33/1000,NA())</f>
        <v>#N/A</v>
      </c>
      <c r="L21" s="28">
        <f>IF(ISNUMBER(basedata_vkm!K33/1000),basedata_vkm!K33/1000,NA())</f>
        <v>89.661</v>
      </c>
      <c r="M21" s="28" t="e">
        <f>IF(ISNUMBER(basedata_vkm!L33/1000),basedata_vkm!L33/1000,NA())</f>
        <v>#N/A</v>
      </c>
      <c r="N21" s="28">
        <f>IF(ISNUMBER(basedata_vkm!M33/1000),basedata_vkm!M33/1000,NA())</f>
        <v>41.25</v>
      </c>
      <c r="O21" s="28">
        <f>IF(ISNUMBER(basedata_vkm!N33/1000),basedata_vkm!N33/1000,NA())</f>
        <v>36</v>
      </c>
      <c r="P21" s="28">
        <f>IF(ISNUMBER(basedata_vkm!O33/1000),basedata_vkm!O33/1000,NA())</f>
        <v>56.57117247211033</v>
      </c>
      <c r="Q21" s="28">
        <f>IF(ISNUMBER(basedata_vkm!P33/1000),basedata_vkm!P33/1000,NA())</f>
        <v>415.568</v>
      </c>
      <c r="R21" s="27">
        <f t="shared" si="2"/>
        <v>1015.5631724721103</v>
      </c>
      <c r="S21" s="27"/>
      <c r="T21" s="58"/>
      <c r="U21" s="58"/>
    </row>
    <row r="22" spans="1:21" ht="11.25">
      <c r="A22" s="53">
        <v>1997</v>
      </c>
      <c r="B22" s="28" t="e">
        <f t="shared" si="3"/>
        <v>#N/A</v>
      </c>
      <c r="C22" s="28">
        <f>IF(ISNUMBER(basedata_vkm!B34/1000),basedata_vkm!B34/1000,NA())</f>
        <v>69.92</v>
      </c>
      <c r="D22" s="28">
        <f>IF(ISNUMBER(basedata_vkm!C34/1000),basedata_vkm!C34/1000,NA())</f>
        <v>34.364</v>
      </c>
      <c r="E22" s="28">
        <f>IF(ISNUMBER(basedata_vkm!D34/1000),basedata_vkm!D34/1000,NA())</f>
        <v>524.8</v>
      </c>
      <c r="F22" s="28" t="e">
        <f>IF(ISNUMBER(basedata_vkm!E34/1000),basedata_vkm!E34/1000,NA())</f>
        <v>#N/A</v>
      </c>
      <c r="G22" s="28" t="e">
        <f>IF(ISNUMBER(basedata_vkm!F34/1000),basedata_vkm!F34/1000,NA())</f>
        <v>#N/A</v>
      </c>
      <c r="H22" s="28">
        <f>IF(ISNUMBER(basedata_vkm!G34/1000),basedata_vkm!G34/1000,NA())</f>
        <v>371.5</v>
      </c>
      <c r="I22" s="28" t="e">
        <f>IF(ISNUMBER(basedata_vkm!H34/1000),basedata_vkm!H34/1000,NA())</f>
        <v>#N/A</v>
      </c>
      <c r="J22" s="28" t="e">
        <f>IF(ISNUMBER(basedata_vkm!I34/1000),basedata_vkm!I34/1000,NA())</f>
        <v>#N/A</v>
      </c>
      <c r="K22" s="28" t="e">
        <f>IF(ISNUMBER(basedata_vkm!J34/1000),basedata_vkm!J34/1000,NA())</f>
        <v>#N/A</v>
      </c>
      <c r="L22" s="28">
        <f>IF(ISNUMBER(basedata_vkm!K34/1000),basedata_vkm!K34/1000,NA())</f>
        <v>93.081</v>
      </c>
      <c r="M22" s="28" t="e">
        <f>IF(ISNUMBER(basedata_vkm!L34/1000),basedata_vkm!L34/1000,NA())</f>
        <v>#N/A</v>
      </c>
      <c r="N22" s="28">
        <f>IF(ISNUMBER(basedata_vkm!M34/1000),basedata_vkm!M34/1000,NA())</f>
        <v>44.25</v>
      </c>
      <c r="O22" s="28">
        <f>IF(ISNUMBER(basedata_vkm!N34/1000),basedata_vkm!N34/1000,NA())</f>
        <v>36.79</v>
      </c>
      <c r="P22" s="28">
        <f>IF(ISNUMBER(basedata_vkm!O34/1000),basedata_vkm!O34/1000,NA())</f>
        <v>56.59557538184341</v>
      </c>
      <c r="Q22" s="28">
        <f>IF(ISNUMBER(basedata_vkm!P34/1000),basedata_vkm!P34/1000,NA())</f>
        <v>424.955</v>
      </c>
      <c r="R22" s="27">
        <f t="shared" si="2"/>
        <v>1038.3745753818434</v>
      </c>
      <c r="S22" s="27"/>
      <c r="T22" s="58"/>
      <c r="U22" s="58"/>
    </row>
    <row r="23" spans="1:21" ht="11.25">
      <c r="A23" s="53">
        <v>1998</v>
      </c>
      <c r="B23" s="28" t="e">
        <f t="shared" si="3"/>
        <v>#N/A</v>
      </c>
      <c r="C23" s="28">
        <f>IF(ISNUMBER(basedata_vkm!B35/1000),basedata_vkm!B35/1000,NA())</f>
        <v>72.42</v>
      </c>
      <c r="D23" s="28">
        <f>IF(ISNUMBER(basedata_vkm!C35/1000),basedata_vkm!C35/1000,NA())</f>
        <v>35.21</v>
      </c>
      <c r="E23" s="28" t="e">
        <f>IF(ISNUMBER(basedata_vkm!D35/1000),basedata_vkm!D35/1000,NA())</f>
        <v>#N/A</v>
      </c>
      <c r="F23" s="28" t="e">
        <f>IF(ISNUMBER(basedata_vkm!E35/1000),basedata_vkm!E35/1000,NA())</f>
        <v>#N/A</v>
      </c>
      <c r="G23" s="28" t="e">
        <f>IF(ISNUMBER(basedata_vkm!F35/1000),basedata_vkm!F35/1000,NA())</f>
        <v>#N/A</v>
      </c>
      <c r="H23" s="28">
        <f>IF(ISNUMBER(basedata_vkm!G35/1000),basedata_vkm!G35/1000,NA())</f>
        <v>383.1</v>
      </c>
      <c r="I23" s="28" t="e">
        <f>IF(ISNUMBER(basedata_vkm!H35/1000),basedata_vkm!H35/1000,NA())</f>
        <v>#N/A</v>
      </c>
      <c r="J23" s="28" t="e">
        <f>IF(ISNUMBER(basedata_vkm!I35/1000),basedata_vkm!I35/1000,NA())</f>
        <v>#N/A</v>
      </c>
      <c r="K23" s="28" t="e">
        <f>IF(ISNUMBER(basedata_vkm!J35/1000),basedata_vkm!J35/1000,NA())</f>
        <v>#N/A</v>
      </c>
      <c r="L23" s="28" t="e">
        <f>IF(ISNUMBER(basedata_vkm!K35/1000),basedata_vkm!K35/1000,NA())</f>
        <v>#N/A</v>
      </c>
      <c r="M23" s="28" t="e">
        <f>IF(ISNUMBER(basedata_vkm!L35/1000),basedata_vkm!L35/1000,NA())</f>
        <v>#N/A</v>
      </c>
      <c r="N23" s="28">
        <f>IF(ISNUMBER(basedata_vkm!M35/1000),basedata_vkm!M35/1000,NA())</f>
        <v>47.25</v>
      </c>
      <c r="O23" s="28">
        <f>IF(ISNUMBER(basedata_vkm!N35/1000),basedata_vkm!N35/1000,NA())</f>
        <v>38.08</v>
      </c>
      <c r="P23" s="28">
        <f>IF(ISNUMBER(basedata_vkm!O35/1000),basedata_vkm!O35/1000,NA())</f>
        <v>57.0087</v>
      </c>
      <c r="Q23" s="28">
        <f>IF(ISNUMBER(basedata_vkm!P35/1000),basedata_vkm!P35/1000,NA())</f>
        <v>418.389</v>
      </c>
      <c r="R23" s="27">
        <f t="shared" si="2"/>
        <v>1051.4577</v>
      </c>
      <c r="S23" s="27"/>
      <c r="T23" s="58"/>
      <c r="U23" s="58"/>
    </row>
    <row r="24" spans="1:21" ht="11.25">
      <c r="A24" s="53">
        <v>1999</v>
      </c>
      <c r="B24" s="28" t="e">
        <f t="shared" si="3"/>
        <v>#N/A</v>
      </c>
      <c r="C24" s="28">
        <f>IF(ISNUMBER(basedata_vkm!B36/1000),basedata_vkm!B36/1000,NA())</f>
        <v>74.91</v>
      </c>
      <c r="D24" s="28" t="e">
        <f>IF(ISNUMBER(basedata_vkm!C36/1000),basedata_vkm!C36/1000,NA())</f>
        <v>#N/A</v>
      </c>
      <c r="E24" s="28" t="e">
        <f>IF(ISNUMBER(basedata_vkm!D36/1000),basedata_vkm!D36/1000,NA())</f>
        <v>#N/A</v>
      </c>
      <c r="F24" s="28" t="e">
        <f>IF(ISNUMBER(basedata_vkm!E36/1000),basedata_vkm!E36/1000,NA())</f>
        <v>#N/A</v>
      </c>
      <c r="G24" s="28" t="e">
        <f>IF(ISNUMBER(basedata_vkm!F36/1000),basedata_vkm!F36/1000,NA())</f>
        <v>#N/A</v>
      </c>
      <c r="H24" s="28" t="e">
        <f>IF(ISNUMBER(basedata_vkm!G36/1000),basedata_vkm!G36/1000,NA())</f>
        <v>#N/A</v>
      </c>
      <c r="I24" s="28" t="e">
        <f>IF(ISNUMBER(basedata_vkm!H36/1000),basedata_vkm!H36/1000,NA())</f>
        <v>#N/A</v>
      </c>
      <c r="J24" s="28" t="e">
        <f>IF(ISNUMBER(basedata_vkm!I36/1000),basedata_vkm!I36/1000,NA())</f>
        <v>#N/A</v>
      </c>
      <c r="K24" s="28" t="e">
        <f>IF(ISNUMBER(basedata_vkm!J36/1000),basedata_vkm!J36/1000,NA())</f>
        <v>#N/A</v>
      </c>
      <c r="L24" s="28" t="e">
        <f>IF(ISNUMBER(basedata_vkm!K36/1000),basedata_vkm!K36/1000,NA())</f>
        <v>#N/A</v>
      </c>
      <c r="M24" s="28" t="e">
        <f>IF(ISNUMBER(basedata_vkm!L36/1000),basedata_vkm!L36/1000,NA())</f>
        <v>#N/A</v>
      </c>
      <c r="N24" s="28" t="e">
        <f>IF(ISNUMBER(basedata_vkm!M36/1000),basedata_vkm!M36/1000,NA())</f>
        <v>#N/A</v>
      </c>
      <c r="O24" s="28">
        <f>IF(ISNUMBER(basedata_vkm!N36/1000),basedata_vkm!N36/1000,NA())</f>
        <v>39.19</v>
      </c>
      <c r="P24" s="28">
        <f>IF(ISNUMBER(basedata_vkm!O36/1000),basedata_vkm!O36/1000,NA())</f>
        <v>58.583</v>
      </c>
      <c r="Q24" s="28" t="e">
        <f>IF(ISNUMBER(basedata_vkm!P36/1000),basedata_vkm!P36/1000,NA())</f>
        <v>#N/A</v>
      </c>
      <c r="R24" s="27" t="e">
        <f t="shared" si="2"/>
        <v>#N/A</v>
      </c>
      <c r="S24" s="27"/>
      <c r="T24" s="58"/>
      <c r="U24" s="58"/>
    </row>
    <row r="25" spans="1:21" ht="11.25" hidden="1" outlineLevel="1">
      <c r="A25" s="53">
        <v>2000</v>
      </c>
      <c r="B25" s="28" t="e">
        <f t="shared" si="3"/>
        <v>#N/A</v>
      </c>
      <c r="C25" s="28" t="e">
        <f>NA()</f>
        <v>#N/A</v>
      </c>
      <c r="D25" s="28" t="e">
        <f>NA()</f>
        <v>#N/A</v>
      </c>
      <c r="E25" s="28" t="e">
        <f>NA()</f>
        <v>#N/A</v>
      </c>
      <c r="F25" s="28" t="e">
        <f>NA()</f>
        <v>#N/A</v>
      </c>
      <c r="G25" s="28" t="e">
        <f>NA()</f>
        <v>#N/A</v>
      </c>
      <c r="H25" s="28" t="e">
        <f>NA()</f>
        <v>#N/A</v>
      </c>
      <c r="I25" s="28" t="e">
        <f>NA()</f>
        <v>#N/A</v>
      </c>
      <c r="J25" s="28" t="e">
        <f>NA()</f>
        <v>#N/A</v>
      </c>
      <c r="K25" s="28" t="e">
        <f>NA()</f>
        <v>#N/A</v>
      </c>
      <c r="L25" s="28" t="e">
        <f>NA()</f>
        <v>#N/A</v>
      </c>
      <c r="M25" s="28" t="e">
        <f>NA()</f>
        <v>#N/A</v>
      </c>
      <c r="N25" s="28" t="e">
        <f>NA()</f>
        <v>#N/A</v>
      </c>
      <c r="O25" s="28" t="e">
        <f>NA()</f>
        <v>#N/A</v>
      </c>
      <c r="P25" s="28" t="e">
        <f>NA()</f>
        <v>#N/A</v>
      </c>
      <c r="Q25" s="28" t="e">
        <f>NA()</f>
        <v>#N/A</v>
      </c>
      <c r="R25" s="27" t="e">
        <f t="shared" si="2"/>
        <v>#N/A</v>
      </c>
      <c r="S25" s="27"/>
      <c r="T25" s="58"/>
      <c r="U25" s="58"/>
    </row>
    <row r="26" spans="1:21" ht="11.25" hidden="1" outlineLevel="1">
      <c r="A26" s="53">
        <v>2001</v>
      </c>
      <c r="B26" s="28" t="e">
        <f t="shared" si="3"/>
        <v>#N/A</v>
      </c>
      <c r="C26" s="28" t="e">
        <f>NA()</f>
        <v>#N/A</v>
      </c>
      <c r="D26" s="28" t="e">
        <f>NA()</f>
        <v>#N/A</v>
      </c>
      <c r="E26" s="28" t="e">
        <f>NA()</f>
        <v>#N/A</v>
      </c>
      <c r="F26" s="28" t="e">
        <f>NA()</f>
        <v>#N/A</v>
      </c>
      <c r="G26" s="28" t="e">
        <f>NA()</f>
        <v>#N/A</v>
      </c>
      <c r="H26" s="28" t="e">
        <f>NA()</f>
        <v>#N/A</v>
      </c>
      <c r="I26" s="28" t="e">
        <f>NA()</f>
        <v>#N/A</v>
      </c>
      <c r="J26" s="28" t="e">
        <f>NA()</f>
        <v>#N/A</v>
      </c>
      <c r="K26" s="28" t="e">
        <f>NA()</f>
        <v>#N/A</v>
      </c>
      <c r="L26" s="28" t="e">
        <f>NA()</f>
        <v>#N/A</v>
      </c>
      <c r="M26" s="28" t="e">
        <f>NA()</f>
        <v>#N/A</v>
      </c>
      <c r="N26" s="28" t="e">
        <f>NA()</f>
        <v>#N/A</v>
      </c>
      <c r="O26" s="28" t="e">
        <f>NA()</f>
        <v>#N/A</v>
      </c>
      <c r="P26" s="28" t="e">
        <f>NA()</f>
        <v>#N/A</v>
      </c>
      <c r="Q26" s="28" t="e">
        <f>NA()</f>
        <v>#N/A</v>
      </c>
      <c r="R26" s="27" t="e">
        <f t="shared" si="2"/>
        <v>#N/A</v>
      </c>
      <c r="S26" s="27"/>
      <c r="T26" s="58"/>
      <c r="U26" s="58"/>
    </row>
    <row r="27" spans="1:17" ht="11.25" collapsed="1">
      <c r="A27" s="3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1.25">
      <c r="A28" s="6" t="s">
        <v>51</v>
      </c>
      <c r="B28" s="30" t="s">
        <v>92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ht="11.25">
      <c r="B29" s="6" t="s">
        <v>94</v>
      </c>
    </row>
    <row r="46" ht="11.25">
      <c r="F46" s="6" t="e">
        <f>NA()</f>
        <v>#NAME?</v>
      </c>
    </row>
  </sheetData>
  <mergeCells count="1">
    <mergeCell ref="T3:U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P122"/>
  <sheetViews>
    <sheetView showGridLines="0" workbookViewId="0" topLeftCell="A1">
      <selection activeCell="A59" sqref="A59"/>
    </sheetView>
  </sheetViews>
  <sheetFormatPr defaultColWidth="9.140625" defaultRowHeight="12.75"/>
  <cols>
    <col min="1" max="1" width="4.00390625" style="60" customWidth="1"/>
    <col min="2" max="16" width="5.7109375" style="60" customWidth="1"/>
    <col min="17" max="16384" width="9.140625" style="60" customWidth="1"/>
  </cols>
  <sheetData>
    <row r="1" ht="12.75">
      <c r="A1" s="59" t="s">
        <v>64</v>
      </c>
    </row>
    <row r="2" ht="12.75">
      <c r="A2" s="59"/>
    </row>
    <row r="3" spans="1:16" s="62" customFormat="1" ht="9">
      <c r="A3" s="61"/>
      <c r="P3" s="63" t="s">
        <v>65</v>
      </c>
    </row>
    <row r="4" spans="1:16" s="62" customFormat="1" ht="9">
      <c r="A4" s="64"/>
      <c r="B4" s="65" t="s">
        <v>66</v>
      </c>
      <c r="C4" s="65" t="s">
        <v>67</v>
      </c>
      <c r="D4" s="65" t="s">
        <v>68</v>
      </c>
      <c r="E4" s="65" t="s">
        <v>10</v>
      </c>
      <c r="F4" s="65" t="s">
        <v>69</v>
      </c>
      <c r="G4" s="65" t="s">
        <v>70</v>
      </c>
      <c r="H4" s="65" t="s">
        <v>71</v>
      </c>
      <c r="I4" s="65" t="s">
        <v>72</v>
      </c>
      <c r="J4" s="65" t="s">
        <v>73</v>
      </c>
      <c r="K4" s="65" t="s">
        <v>74</v>
      </c>
      <c r="L4" s="65" t="s">
        <v>75</v>
      </c>
      <c r="M4" s="65" t="s">
        <v>76</v>
      </c>
      <c r="N4" s="65" t="s">
        <v>77</v>
      </c>
      <c r="O4" s="65" t="s">
        <v>78</v>
      </c>
      <c r="P4" s="66" t="s">
        <v>79</v>
      </c>
    </row>
    <row r="5" s="62" customFormat="1" ht="9"/>
    <row r="6" spans="1:16" ht="12.75">
      <c r="A6" s="390" t="s">
        <v>80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</row>
    <row r="7" spans="1:16" s="62" customFormat="1" ht="9">
      <c r="A7" s="67">
        <v>1970</v>
      </c>
      <c r="B7" s="68" t="s">
        <v>4</v>
      </c>
      <c r="C7" s="69" t="s">
        <v>4</v>
      </c>
      <c r="D7" s="69">
        <v>2600</v>
      </c>
      <c r="E7" s="69">
        <v>1038</v>
      </c>
      <c r="F7" s="69">
        <v>2489</v>
      </c>
      <c r="G7" s="69">
        <v>1715</v>
      </c>
      <c r="H7" s="69" t="s">
        <v>4</v>
      </c>
      <c r="I7" s="69">
        <v>20520</v>
      </c>
      <c r="J7" s="69" t="s">
        <v>4</v>
      </c>
      <c r="K7" s="69">
        <v>5300</v>
      </c>
      <c r="L7" s="69">
        <v>1666</v>
      </c>
      <c r="M7" s="69">
        <v>437</v>
      </c>
      <c r="N7" s="69">
        <v>800</v>
      </c>
      <c r="O7" s="69">
        <v>185.37331232227058</v>
      </c>
      <c r="P7" s="69">
        <v>4000</v>
      </c>
    </row>
    <row r="8" spans="1:16" s="62" customFormat="1" ht="9">
      <c r="A8" s="67">
        <v>1975</v>
      </c>
      <c r="B8" s="68" t="s">
        <v>4</v>
      </c>
      <c r="C8" s="69" t="s">
        <v>4</v>
      </c>
      <c r="D8" s="69">
        <v>3700</v>
      </c>
      <c r="E8" s="69">
        <v>1314</v>
      </c>
      <c r="F8" s="69">
        <v>1704</v>
      </c>
      <c r="G8" s="69">
        <v>2710</v>
      </c>
      <c r="H8" s="69" t="s">
        <v>4</v>
      </c>
      <c r="I8" s="69">
        <v>24700</v>
      </c>
      <c r="J8" s="69" t="s">
        <v>4</v>
      </c>
      <c r="K8" s="69">
        <v>4000</v>
      </c>
      <c r="L8" s="69">
        <v>2097</v>
      </c>
      <c r="M8" s="69">
        <v>591</v>
      </c>
      <c r="N8" s="69" t="s">
        <v>4</v>
      </c>
      <c r="O8" s="69">
        <v>205.9113385425624</v>
      </c>
      <c r="P8" s="69">
        <v>5100</v>
      </c>
    </row>
    <row r="9" spans="1:16" s="62" customFormat="1" ht="9">
      <c r="A9" s="67">
        <v>1980</v>
      </c>
      <c r="B9" s="68" t="s">
        <v>4</v>
      </c>
      <c r="C9" s="69">
        <v>220</v>
      </c>
      <c r="D9" s="69">
        <v>5700</v>
      </c>
      <c r="E9" s="69" t="s">
        <v>4</v>
      </c>
      <c r="F9" s="69">
        <v>1657</v>
      </c>
      <c r="G9" s="69">
        <v>4020</v>
      </c>
      <c r="H9" s="69">
        <v>340</v>
      </c>
      <c r="I9" s="69">
        <v>24752</v>
      </c>
      <c r="J9" s="69" t="s">
        <v>4</v>
      </c>
      <c r="K9" s="69">
        <v>3480</v>
      </c>
      <c r="L9" s="69">
        <v>1670</v>
      </c>
      <c r="M9" s="69">
        <v>695</v>
      </c>
      <c r="N9" s="69">
        <v>800</v>
      </c>
      <c r="O9" s="69">
        <v>236.1339034323778</v>
      </c>
      <c r="P9" s="69">
        <v>7670</v>
      </c>
    </row>
    <row r="10" spans="1:16" s="62" customFormat="1" ht="9">
      <c r="A10" s="67">
        <v>1985</v>
      </c>
      <c r="B10" s="68" t="s">
        <v>4</v>
      </c>
      <c r="C10" s="69">
        <v>268</v>
      </c>
      <c r="D10" s="69">
        <v>7400</v>
      </c>
      <c r="E10" s="69" t="s">
        <v>4</v>
      </c>
      <c r="F10" s="69">
        <v>1571</v>
      </c>
      <c r="G10" s="69" t="s">
        <v>4</v>
      </c>
      <c r="H10" s="69" t="s">
        <v>4</v>
      </c>
      <c r="I10" s="69">
        <v>30874</v>
      </c>
      <c r="J10" s="69" t="s">
        <v>4</v>
      </c>
      <c r="K10" s="69">
        <v>2293</v>
      </c>
      <c r="L10" s="69">
        <v>1371</v>
      </c>
      <c r="M10" s="69">
        <v>740</v>
      </c>
      <c r="N10" s="69">
        <v>800</v>
      </c>
      <c r="O10" s="69">
        <v>479.1991128699161</v>
      </c>
      <c r="P10" s="69">
        <v>7370</v>
      </c>
    </row>
    <row r="11" spans="1:16" s="62" customFormat="1" ht="9">
      <c r="A11" s="67">
        <v>1990</v>
      </c>
      <c r="B11" s="68" t="s">
        <v>4</v>
      </c>
      <c r="C11" s="69">
        <v>295</v>
      </c>
      <c r="D11" s="69">
        <v>7500</v>
      </c>
      <c r="E11" s="69" t="s">
        <v>4</v>
      </c>
      <c r="F11" s="69">
        <v>1209</v>
      </c>
      <c r="G11" s="69" t="s">
        <v>4</v>
      </c>
      <c r="H11" s="69">
        <v>241</v>
      </c>
      <c r="I11" s="69">
        <v>43940</v>
      </c>
      <c r="J11" s="69" t="s">
        <v>4</v>
      </c>
      <c r="K11" s="69">
        <v>2380</v>
      </c>
      <c r="L11" s="69">
        <v>711</v>
      </c>
      <c r="M11" s="69">
        <v>2023</v>
      </c>
      <c r="N11" s="69">
        <v>800</v>
      </c>
      <c r="O11" s="69">
        <v>445.1627893553046</v>
      </c>
      <c r="P11" s="69">
        <v>5570</v>
      </c>
    </row>
    <row r="12" spans="1:16" s="62" customFormat="1" ht="9">
      <c r="A12" s="67">
        <v>1991</v>
      </c>
      <c r="B12" s="68" t="s">
        <v>4</v>
      </c>
      <c r="C12" s="69">
        <v>291</v>
      </c>
      <c r="D12" s="69">
        <v>11200</v>
      </c>
      <c r="E12" s="69" t="s">
        <v>4</v>
      </c>
      <c r="F12" s="69">
        <v>1315</v>
      </c>
      <c r="G12" s="69">
        <v>6500</v>
      </c>
      <c r="H12" s="69">
        <v>266</v>
      </c>
      <c r="I12" s="69">
        <v>42010</v>
      </c>
      <c r="J12" s="69" t="s">
        <v>4</v>
      </c>
      <c r="K12" s="69">
        <v>2103</v>
      </c>
      <c r="L12" s="69">
        <v>705</v>
      </c>
      <c r="M12" s="69" t="s">
        <v>4</v>
      </c>
      <c r="N12" s="69">
        <v>900</v>
      </c>
      <c r="O12" s="69">
        <v>455.676176434412</v>
      </c>
      <c r="P12" s="69">
        <v>5400</v>
      </c>
    </row>
    <row r="13" spans="1:16" s="62" customFormat="1" ht="9">
      <c r="A13" s="67">
        <v>1992</v>
      </c>
      <c r="B13" s="68" t="s">
        <v>4</v>
      </c>
      <c r="C13" s="69">
        <v>296</v>
      </c>
      <c r="D13" s="69">
        <v>11800</v>
      </c>
      <c r="E13" s="69" t="s">
        <v>4</v>
      </c>
      <c r="F13" s="69">
        <v>1349</v>
      </c>
      <c r="G13" s="69">
        <v>6500</v>
      </c>
      <c r="H13" s="69">
        <v>249</v>
      </c>
      <c r="I13" s="69">
        <v>47191</v>
      </c>
      <c r="J13" s="69" t="s">
        <v>4</v>
      </c>
      <c r="K13" s="69">
        <v>1035</v>
      </c>
      <c r="L13" s="69">
        <v>703</v>
      </c>
      <c r="M13" s="69" t="s">
        <v>4</v>
      </c>
      <c r="N13" s="69">
        <v>900</v>
      </c>
      <c r="O13" s="69">
        <v>481.46295334466686</v>
      </c>
      <c r="P13" s="69">
        <v>4671</v>
      </c>
    </row>
    <row r="14" spans="1:16" s="62" customFormat="1" ht="9">
      <c r="A14" s="67">
        <v>1993</v>
      </c>
      <c r="B14" s="68" t="s">
        <v>4</v>
      </c>
      <c r="C14" s="69">
        <v>305</v>
      </c>
      <c r="D14" s="69">
        <v>11590</v>
      </c>
      <c r="E14" s="69" t="s">
        <v>4</v>
      </c>
      <c r="F14" s="69">
        <v>1389</v>
      </c>
      <c r="G14" s="69" t="s">
        <v>4</v>
      </c>
      <c r="H14" s="69">
        <v>237</v>
      </c>
      <c r="I14" s="69" t="s">
        <v>4</v>
      </c>
      <c r="J14" s="69" t="s">
        <v>4</v>
      </c>
      <c r="K14" s="69">
        <v>1338</v>
      </c>
      <c r="L14" s="69" t="s">
        <v>4</v>
      </c>
      <c r="M14" s="69" t="s">
        <v>4</v>
      </c>
      <c r="N14" s="69">
        <v>900</v>
      </c>
      <c r="O14" s="69">
        <v>500.024613036847</v>
      </c>
      <c r="P14" s="69">
        <v>4127</v>
      </c>
    </row>
    <row r="15" spans="1:16" s="62" customFormat="1" ht="9">
      <c r="A15" s="67">
        <v>1994</v>
      </c>
      <c r="B15" s="68" t="s">
        <v>4</v>
      </c>
      <c r="C15" s="69">
        <v>318</v>
      </c>
      <c r="D15" s="69">
        <v>12959</v>
      </c>
      <c r="E15" s="69" t="s">
        <v>4</v>
      </c>
      <c r="F15" s="69">
        <v>1407</v>
      </c>
      <c r="G15" s="69" t="s">
        <v>4</v>
      </c>
      <c r="H15" s="69">
        <v>259</v>
      </c>
      <c r="I15" s="69" t="s">
        <v>4</v>
      </c>
      <c r="J15" s="69" t="s">
        <v>4</v>
      </c>
      <c r="K15" s="69">
        <v>1831</v>
      </c>
      <c r="L15" s="69" t="s">
        <v>4</v>
      </c>
      <c r="M15" s="69" t="s">
        <v>4</v>
      </c>
      <c r="N15" s="69">
        <v>900</v>
      </c>
      <c r="O15" s="69">
        <v>518.9014507237429</v>
      </c>
      <c r="P15" s="69">
        <v>4146</v>
      </c>
    </row>
    <row r="16" spans="1:16" s="62" customFormat="1" ht="9">
      <c r="A16" s="67">
        <v>1995</v>
      </c>
      <c r="B16" s="70">
        <v>950</v>
      </c>
      <c r="C16" s="69">
        <v>341</v>
      </c>
      <c r="D16" s="69">
        <v>11500</v>
      </c>
      <c r="E16" s="69" t="s">
        <v>4</v>
      </c>
      <c r="F16" s="69" t="s">
        <v>4</v>
      </c>
      <c r="G16" s="69" t="s">
        <v>4</v>
      </c>
      <c r="H16" s="69">
        <v>278</v>
      </c>
      <c r="I16" s="69" t="s">
        <v>4</v>
      </c>
      <c r="J16" s="69" t="s">
        <v>4</v>
      </c>
      <c r="K16" s="69">
        <v>1357</v>
      </c>
      <c r="L16" s="69" t="s">
        <v>4</v>
      </c>
      <c r="M16" s="69" t="s">
        <v>4</v>
      </c>
      <c r="N16" s="69">
        <v>900</v>
      </c>
      <c r="O16" s="69">
        <v>532.2846560659535</v>
      </c>
      <c r="P16" s="69">
        <v>4120</v>
      </c>
    </row>
    <row r="17" spans="1:16" s="62" customFormat="1" ht="9">
      <c r="A17" s="67">
        <v>1996</v>
      </c>
      <c r="B17" s="70">
        <v>980</v>
      </c>
      <c r="C17" s="69">
        <v>383</v>
      </c>
      <c r="D17" s="69">
        <v>13400</v>
      </c>
      <c r="E17" s="69" t="s">
        <v>4</v>
      </c>
      <c r="F17" s="69" t="s">
        <v>4</v>
      </c>
      <c r="G17" s="69" t="s">
        <v>4</v>
      </c>
      <c r="H17" s="69">
        <v>295</v>
      </c>
      <c r="I17" s="69" t="s">
        <v>4</v>
      </c>
      <c r="J17" s="69" t="s">
        <v>4</v>
      </c>
      <c r="K17" s="69">
        <v>1456</v>
      </c>
      <c r="L17" s="69" t="s">
        <v>4</v>
      </c>
      <c r="M17" s="69" t="s">
        <v>4</v>
      </c>
      <c r="N17" s="69">
        <v>900</v>
      </c>
      <c r="O17" s="69">
        <v>545.7736466369201</v>
      </c>
      <c r="P17" s="69">
        <v>4165</v>
      </c>
    </row>
    <row r="18" spans="1:16" s="62" customFormat="1" ht="9">
      <c r="A18" s="67">
        <v>1997</v>
      </c>
      <c r="B18" s="70">
        <v>1020</v>
      </c>
      <c r="C18" s="69">
        <v>444</v>
      </c>
      <c r="D18" s="69">
        <v>14400</v>
      </c>
      <c r="E18" s="69" t="s">
        <v>4</v>
      </c>
      <c r="F18" s="69" t="s">
        <v>4</v>
      </c>
      <c r="G18" s="69" t="s">
        <v>4</v>
      </c>
      <c r="H18" s="69" t="s">
        <v>4</v>
      </c>
      <c r="I18" s="69" t="s">
        <v>4</v>
      </c>
      <c r="J18" s="69" t="s">
        <v>4</v>
      </c>
      <c r="K18" s="69">
        <v>1522</v>
      </c>
      <c r="L18" s="69" t="s">
        <v>4</v>
      </c>
      <c r="M18" s="69" t="s">
        <v>4</v>
      </c>
      <c r="N18" s="69">
        <v>900</v>
      </c>
      <c r="O18" s="69">
        <v>568.7546039968136</v>
      </c>
      <c r="P18" s="69">
        <v>4051</v>
      </c>
    </row>
    <row r="19" spans="1:16" s="62" customFormat="1" ht="9">
      <c r="A19" s="67">
        <v>1998</v>
      </c>
      <c r="B19" s="70">
        <v>1060</v>
      </c>
      <c r="C19" s="69">
        <v>507</v>
      </c>
      <c r="D19" s="69" t="s">
        <v>4</v>
      </c>
      <c r="E19" s="69" t="s">
        <v>4</v>
      </c>
      <c r="F19" s="69" t="s">
        <v>4</v>
      </c>
      <c r="G19" s="69" t="s">
        <v>4</v>
      </c>
      <c r="H19" s="69" t="s">
        <v>4</v>
      </c>
      <c r="I19" s="69" t="s">
        <v>4</v>
      </c>
      <c r="J19" s="69" t="s">
        <v>4</v>
      </c>
      <c r="K19" s="69" t="s">
        <v>4</v>
      </c>
      <c r="L19" s="69" t="s">
        <v>4</v>
      </c>
      <c r="M19" s="69" t="s">
        <v>4</v>
      </c>
      <c r="N19" s="69">
        <v>900</v>
      </c>
      <c r="O19" s="69">
        <v>612.7</v>
      </c>
      <c r="P19" s="69">
        <v>3950</v>
      </c>
    </row>
    <row r="20" spans="1:16" s="62" customFormat="1" ht="9">
      <c r="A20" s="67">
        <v>1999</v>
      </c>
      <c r="B20" s="68" t="s">
        <v>4</v>
      </c>
      <c r="C20" s="69" t="s">
        <v>4</v>
      </c>
      <c r="D20" s="69" t="s">
        <v>4</v>
      </c>
      <c r="E20" s="69" t="s">
        <v>4</v>
      </c>
      <c r="F20" s="69" t="s">
        <v>4</v>
      </c>
      <c r="G20" s="69" t="s">
        <v>4</v>
      </c>
      <c r="H20" s="69" t="s">
        <v>4</v>
      </c>
      <c r="I20" s="69" t="s">
        <v>4</v>
      </c>
      <c r="J20" s="69" t="s">
        <v>4</v>
      </c>
      <c r="K20" s="69" t="s">
        <v>4</v>
      </c>
      <c r="L20" s="69" t="s">
        <v>4</v>
      </c>
      <c r="M20" s="69" t="s">
        <v>4</v>
      </c>
      <c r="N20" s="69">
        <v>900</v>
      </c>
      <c r="O20" s="69">
        <v>669</v>
      </c>
      <c r="P20" s="69">
        <v>4600</v>
      </c>
    </row>
    <row r="21" s="62" customFormat="1" ht="9"/>
    <row r="22" spans="1:16" ht="12.75">
      <c r="A22" s="390" t="s">
        <v>81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</row>
    <row r="23" spans="1:16" s="62" customFormat="1" ht="9">
      <c r="A23" s="67">
        <v>1970</v>
      </c>
      <c r="B23" s="69">
        <v>25230</v>
      </c>
      <c r="C23" s="69">
        <v>19000</v>
      </c>
      <c r="D23" s="69">
        <v>201100</v>
      </c>
      <c r="E23" s="69">
        <v>6806</v>
      </c>
      <c r="F23" s="69">
        <v>24648</v>
      </c>
      <c r="G23" s="69">
        <v>165000</v>
      </c>
      <c r="H23" s="69" t="s">
        <v>4</v>
      </c>
      <c r="I23" s="69">
        <v>122505</v>
      </c>
      <c r="J23" s="69">
        <v>1300</v>
      </c>
      <c r="K23" s="69">
        <v>35810</v>
      </c>
      <c r="L23" s="69">
        <v>21539</v>
      </c>
      <c r="M23" s="69">
        <v>7124</v>
      </c>
      <c r="N23" s="69">
        <v>13900</v>
      </c>
      <c r="O23" s="69">
        <v>31021.346034189337</v>
      </c>
      <c r="P23" s="69">
        <v>155000</v>
      </c>
    </row>
    <row r="24" spans="1:16" s="62" customFormat="1" ht="9">
      <c r="A24" s="67">
        <v>1975</v>
      </c>
      <c r="B24" s="69">
        <v>29497</v>
      </c>
      <c r="C24" s="69">
        <v>21000</v>
      </c>
      <c r="D24" s="69">
        <v>245100</v>
      </c>
      <c r="E24" s="69">
        <v>13173</v>
      </c>
      <c r="F24" s="69">
        <v>40311</v>
      </c>
      <c r="G24" s="69">
        <v>205000</v>
      </c>
      <c r="H24" s="69" t="s">
        <v>4</v>
      </c>
      <c r="I24" s="69">
        <v>158670</v>
      </c>
      <c r="J24" s="69">
        <v>1500</v>
      </c>
      <c r="K24" s="69">
        <v>47460</v>
      </c>
      <c r="L24" s="69">
        <v>20353</v>
      </c>
      <c r="M24" s="69">
        <v>12047</v>
      </c>
      <c r="N24" s="69">
        <v>19880</v>
      </c>
      <c r="O24" s="69">
        <v>37680.69084701437</v>
      </c>
      <c r="P24" s="69">
        <v>181600</v>
      </c>
    </row>
    <row r="25" spans="1:16" s="62" customFormat="1" ht="9">
      <c r="A25" s="67">
        <v>1980</v>
      </c>
      <c r="B25" s="69">
        <v>36945</v>
      </c>
      <c r="C25" s="69">
        <v>19355</v>
      </c>
      <c r="D25" s="69">
        <v>297400</v>
      </c>
      <c r="E25" s="69" t="s">
        <v>4</v>
      </c>
      <c r="F25" s="69">
        <v>53057</v>
      </c>
      <c r="G25" s="69">
        <v>244600</v>
      </c>
      <c r="H25" s="69">
        <v>14798</v>
      </c>
      <c r="I25" s="69">
        <v>190608</v>
      </c>
      <c r="J25" s="69">
        <v>2000</v>
      </c>
      <c r="K25" s="69">
        <v>61350</v>
      </c>
      <c r="L25" s="69">
        <v>24186</v>
      </c>
      <c r="M25" s="69">
        <v>17050</v>
      </c>
      <c r="N25" s="69">
        <v>22180</v>
      </c>
      <c r="O25" s="69">
        <v>45191.68727966914</v>
      </c>
      <c r="P25" s="69">
        <v>202105</v>
      </c>
    </row>
    <row r="26" spans="1:16" s="62" customFormat="1" ht="9">
      <c r="A26" s="67">
        <v>1985</v>
      </c>
      <c r="B26" s="69">
        <v>41760</v>
      </c>
      <c r="C26" s="69">
        <v>22322</v>
      </c>
      <c r="D26" s="69">
        <v>313400</v>
      </c>
      <c r="E26" s="69" t="s">
        <v>4</v>
      </c>
      <c r="F26" s="69">
        <v>59371</v>
      </c>
      <c r="G26" s="69">
        <v>267000</v>
      </c>
      <c r="H26" s="69" t="s">
        <v>4</v>
      </c>
      <c r="I26" s="69">
        <v>213543</v>
      </c>
      <c r="J26" s="69">
        <v>2200</v>
      </c>
      <c r="K26" s="69">
        <v>64950</v>
      </c>
      <c r="L26" s="69">
        <v>28018</v>
      </c>
      <c r="M26" s="69">
        <v>22500</v>
      </c>
      <c r="N26" s="69">
        <v>25970</v>
      </c>
      <c r="O26" s="69">
        <v>47789.99187037822</v>
      </c>
      <c r="P26" s="69">
        <v>250460</v>
      </c>
    </row>
    <row r="27" spans="1:16" s="62" customFormat="1" ht="9">
      <c r="A27" s="67">
        <v>1990</v>
      </c>
      <c r="B27" s="69">
        <v>54898</v>
      </c>
      <c r="C27" s="69">
        <v>27968</v>
      </c>
      <c r="D27" s="69">
        <v>431488</v>
      </c>
      <c r="E27" s="69" t="s">
        <v>4</v>
      </c>
      <c r="F27" s="69">
        <v>86213</v>
      </c>
      <c r="G27" s="69">
        <v>311000</v>
      </c>
      <c r="H27" s="69">
        <v>19271</v>
      </c>
      <c r="I27" s="69">
        <v>277975</v>
      </c>
      <c r="J27" s="69">
        <v>2971</v>
      </c>
      <c r="K27" s="69">
        <v>76955</v>
      </c>
      <c r="L27" s="69">
        <v>31851</v>
      </c>
      <c r="M27" s="69">
        <v>26000</v>
      </c>
      <c r="N27" s="69">
        <v>33430</v>
      </c>
      <c r="O27" s="69">
        <v>54613.939535638696</v>
      </c>
      <c r="P27" s="69">
        <v>330740</v>
      </c>
    </row>
    <row r="28" spans="1:16" s="62" customFormat="1" ht="9">
      <c r="A28" s="67">
        <v>1991</v>
      </c>
      <c r="B28" s="69">
        <v>57482</v>
      </c>
      <c r="C28" s="69">
        <v>28902</v>
      </c>
      <c r="D28" s="69">
        <v>496410</v>
      </c>
      <c r="E28" s="69" t="s">
        <v>4</v>
      </c>
      <c r="F28" s="69">
        <v>90386</v>
      </c>
      <c r="G28" s="69">
        <v>325000</v>
      </c>
      <c r="H28" s="69">
        <v>19712</v>
      </c>
      <c r="I28" s="69">
        <v>286311</v>
      </c>
      <c r="J28" s="69">
        <v>3231</v>
      </c>
      <c r="K28" s="69">
        <v>77785</v>
      </c>
      <c r="L28" s="69">
        <v>32617</v>
      </c>
      <c r="M28" s="69">
        <v>27000</v>
      </c>
      <c r="N28" s="69">
        <v>33130</v>
      </c>
      <c r="O28" s="69">
        <v>55011.9911373611</v>
      </c>
      <c r="P28" s="69">
        <v>344000</v>
      </c>
    </row>
    <row r="29" spans="1:16" s="62" customFormat="1" ht="9">
      <c r="A29" s="67">
        <v>1992</v>
      </c>
      <c r="B29" s="69">
        <v>58722</v>
      </c>
      <c r="C29" s="69">
        <v>29579</v>
      </c>
      <c r="D29" s="69">
        <v>509958</v>
      </c>
      <c r="E29" s="69" t="s">
        <v>4</v>
      </c>
      <c r="F29" s="69">
        <v>65783</v>
      </c>
      <c r="G29" s="69">
        <v>334000</v>
      </c>
      <c r="H29" s="69">
        <v>20540</v>
      </c>
      <c r="I29" s="69">
        <v>316951</v>
      </c>
      <c r="J29" s="69" t="s">
        <v>4</v>
      </c>
      <c r="K29" s="69">
        <v>83325</v>
      </c>
      <c r="L29" s="69">
        <v>33384</v>
      </c>
      <c r="M29" s="69">
        <v>30300</v>
      </c>
      <c r="N29" s="69">
        <v>36050</v>
      </c>
      <c r="O29" s="69">
        <v>55603.77711026716</v>
      </c>
      <c r="P29" s="69">
        <v>349216</v>
      </c>
    </row>
    <row r="30" spans="1:16" s="62" customFormat="1" ht="9">
      <c r="A30" s="67">
        <v>1993</v>
      </c>
      <c r="B30" s="69" t="s">
        <v>4</v>
      </c>
      <c r="C30" s="69">
        <v>30015</v>
      </c>
      <c r="D30" s="69">
        <v>517823</v>
      </c>
      <c r="E30" s="69" t="s">
        <v>4</v>
      </c>
      <c r="F30" s="69">
        <v>98162</v>
      </c>
      <c r="G30" s="69">
        <v>340000</v>
      </c>
      <c r="H30" s="69">
        <v>21558</v>
      </c>
      <c r="I30" s="69" t="s">
        <v>4</v>
      </c>
      <c r="J30" s="69" t="s">
        <v>4</v>
      </c>
      <c r="K30" s="69">
        <v>85336</v>
      </c>
      <c r="L30" s="69" t="s">
        <v>4</v>
      </c>
      <c r="M30" s="69">
        <v>33150</v>
      </c>
      <c r="N30" s="69">
        <v>35660</v>
      </c>
      <c r="O30" s="69">
        <v>54459.52491393336</v>
      </c>
      <c r="P30" s="69">
        <v>386974</v>
      </c>
    </row>
    <row r="31" spans="1:16" s="62" customFormat="1" ht="9">
      <c r="A31" s="67">
        <v>1994</v>
      </c>
      <c r="B31" s="69">
        <v>79300</v>
      </c>
      <c r="C31" s="69">
        <v>30925</v>
      </c>
      <c r="D31" s="69">
        <v>505705</v>
      </c>
      <c r="E31" s="69" t="s">
        <v>4</v>
      </c>
      <c r="F31" s="69">
        <v>101558</v>
      </c>
      <c r="G31" s="69">
        <v>352000</v>
      </c>
      <c r="H31" s="69">
        <v>22894</v>
      </c>
      <c r="I31" s="69" t="s">
        <v>4</v>
      </c>
      <c r="J31" s="69" t="s">
        <v>4</v>
      </c>
      <c r="K31" s="69">
        <v>89094</v>
      </c>
      <c r="L31" s="69" t="s">
        <v>4</v>
      </c>
      <c r="M31" s="69">
        <v>36000</v>
      </c>
      <c r="N31" s="69">
        <v>35400</v>
      </c>
      <c r="O31" s="69">
        <v>55183.6173144377</v>
      </c>
      <c r="P31" s="69">
        <v>395364</v>
      </c>
    </row>
    <row r="32" spans="1:16" s="62" customFormat="1" ht="9">
      <c r="A32" s="67">
        <v>1995</v>
      </c>
      <c r="B32" s="70">
        <v>67680</v>
      </c>
      <c r="C32" s="69">
        <v>32193</v>
      </c>
      <c r="D32" s="69">
        <v>514414</v>
      </c>
      <c r="E32" s="69" t="s">
        <v>4</v>
      </c>
      <c r="F32" s="69" t="s">
        <v>4</v>
      </c>
      <c r="G32" s="69">
        <v>359100</v>
      </c>
      <c r="H32" s="69">
        <v>24826</v>
      </c>
      <c r="I32" s="69" t="s">
        <v>4</v>
      </c>
      <c r="J32" s="69" t="s">
        <v>4</v>
      </c>
      <c r="K32" s="69">
        <v>89973</v>
      </c>
      <c r="L32" s="69" t="s">
        <v>4</v>
      </c>
      <c r="M32" s="69">
        <v>38400</v>
      </c>
      <c r="N32" s="69">
        <v>35760</v>
      </c>
      <c r="O32" s="69">
        <v>56278.88973153364</v>
      </c>
      <c r="P32" s="69">
        <v>405113</v>
      </c>
    </row>
    <row r="33" spans="1:16" s="62" customFormat="1" ht="9">
      <c r="A33" s="67">
        <v>1996</v>
      </c>
      <c r="B33" s="70">
        <v>68590</v>
      </c>
      <c r="C33" s="69">
        <v>33184</v>
      </c>
      <c r="D33" s="69">
        <v>517000</v>
      </c>
      <c r="E33" s="69" t="s">
        <v>4</v>
      </c>
      <c r="F33" s="69" t="s">
        <v>4</v>
      </c>
      <c r="G33" s="69">
        <v>364400</v>
      </c>
      <c r="H33" s="69">
        <v>27312</v>
      </c>
      <c r="I33" s="69" t="s">
        <v>4</v>
      </c>
      <c r="J33" s="69" t="s">
        <v>4</v>
      </c>
      <c r="K33" s="69">
        <v>89661</v>
      </c>
      <c r="L33" s="69" t="s">
        <v>4</v>
      </c>
      <c r="M33" s="69">
        <v>41250</v>
      </c>
      <c r="N33" s="69">
        <v>36000</v>
      </c>
      <c r="O33" s="69">
        <v>56571.172472110324</v>
      </c>
      <c r="P33" s="69">
        <v>415568</v>
      </c>
    </row>
    <row r="34" spans="1:16" s="62" customFormat="1" ht="9">
      <c r="A34" s="67">
        <v>1997</v>
      </c>
      <c r="B34" s="70">
        <v>69920</v>
      </c>
      <c r="C34" s="69">
        <v>34364</v>
      </c>
      <c r="D34" s="69">
        <v>524800</v>
      </c>
      <c r="E34" s="69" t="s">
        <v>4</v>
      </c>
      <c r="F34" s="69" t="s">
        <v>4</v>
      </c>
      <c r="G34" s="69">
        <v>371500</v>
      </c>
      <c r="H34" s="69" t="s">
        <v>4</v>
      </c>
      <c r="I34" s="69" t="s">
        <v>4</v>
      </c>
      <c r="J34" s="69" t="s">
        <v>4</v>
      </c>
      <c r="K34" s="69">
        <v>93081</v>
      </c>
      <c r="L34" s="69" t="s">
        <v>4</v>
      </c>
      <c r="M34" s="69">
        <v>44250</v>
      </c>
      <c r="N34" s="69">
        <v>36790</v>
      </c>
      <c r="O34" s="69">
        <v>56595.57538184341</v>
      </c>
      <c r="P34" s="69">
        <v>424955</v>
      </c>
    </row>
    <row r="35" spans="1:16" s="62" customFormat="1" ht="9">
      <c r="A35" s="67">
        <v>1998</v>
      </c>
      <c r="B35" s="70">
        <v>72420</v>
      </c>
      <c r="C35" s="69">
        <v>35210</v>
      </c>
      <c r="D35" s="69" t="s">
        <v>4</v>
      </c>
      <c r="E35" s="69" t="s">
        <v>4</v>
      </c>
      <c r="F35" s="69" t="s">
        <v>4</v>
      </c>
      <c r="G35" s="69">
        <v>383100</v>
      </c>
      <c r="H35" s="69" t="s">
        <v>4</v>
      </c>
      <c r="I35" s="69" t="s">
        <v>4</v>
      </c>
      <c r="J35" s="69" t="s">
        <v>4</v>
      </c>
      <c r="K35" s="69" t="s">
        <v>4</v>
      </c>
      <c r="L35" s="69" t="s">
        <v>4</v>
      </c>
      <c r="M35" s="69">
        <v>47250</v>
      </c>
      <c r="N35" s="69">
        <v>38080</v>
      </c>
      <c r="O35" s="69">
        <v>57008.7</v>
      </c>
      <c r="P35" s="69">
        <v>418389</v>
      </c>
    </row>
    <row r="36" spans="1:16" s="62" customFormat="1" ht="9">
      <c r="A36" s="67">
        <v>1999</v>
      </c>
      <c r="B36" s="70">
        <v>74910</v>
      </c>
      <c r="C36" s="69" t="s">
        <v>4</v>
      </c>
      <c r="D36" s="69" t="s">
        <v>4</v>
      </c>
      <c r="E36" s="69" t="s">
        <v>4</v>
      </c>
      <c r="F36" s="69" t="s">
        <v>4</v>
      </c>
      <c r="G36" s="69" t="s">
        <v>4</v>
      </c>
      <c r="H36" s="69" t="s">
        <v>4</v>
      </c>
      <c r="I36" s="69" t="s">
        <v>4</v>
      </c>
      <c r="J36" s="69" t="s">
        <v>4</v>
      </c>
      <c r="K36" s="69" t="s">
        <v>4</v>
      </c>
      <c r="L36" s="69" t="s">
        <v>4</v>
      </c>
      <c r="M36" s="69" t="s">
        <v>4</v>
      </c>
      <c r="N36" s="69">
        <v>39190</v>
      </c>
      <c r="O36" s="69">
        <v>58583</v>
      </c>
      <c r="P36" s="69" t="s">
        <v>4</v>
      </c>
    </row>
    <row r="37" s="62" customFormat="1" ht="9">
      <c r="A37" s="62" t="s">
        <v>82</v>
      </c>
    </row>
    <row r="38" spans="1:16" ht="12.75">
      <c r="A38" s="390" t="s">
        <v>83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</row>
    <row r="39" spans="1:16" s="62" customFormat="1" ht="9">
      <c r="A39" s="67">
        <v>1970</v>
      </c>
      <c r="B39" s="69">
        <v>368</v>
      </c>
      <c r="C39" s="69">
        <v>300</v>
      </c>
      <c r="D39" s="69">
        <v>2200</v>
      </c>
      <c r="E39" s="69">
        <v>738</v>
      </c>
      <c r="F39" s="69">
        <v>811</v>
      </c>
      <c r="G39" s="69" t="s">
        <v>4</v>
      </c>
      <c r="H39" s="69" t="s">
        <v>4</v>
      </c>
      <c r="I39" s="69">
        <v>1361</v>
      </c>
      <c r="J39" s="69" t="s">
        <v>4</v>
      </c>
      <c r="K39" s="69">
        <v>450</v>
      </c>
      <c r="L39" s="69">
        <v>337</v>
      </c>
      <c r="M39" s="69">
        <v>200</v>
      </c>
      <c r="N39" s="69">
        <v>570</v>
      </c>
      <c r="O39" s="69">
        <v>845.8731954971299</v>
      </c>
      <c r="P39" s="69">
        <v>3600</v>
      </c>
    </row>
    <row r="40" spans="1:16" s="62" customFormat="1" ht="9">
      <c r="A40" s="67">
        <v>1975</v>
      </c>
      <c r="B40" s="69">
        <v>397</v>
      </c>
      <c r="C40" s="69">
        <v>300</v>
      </c>
      <c r="D40" s="69">
        <v>2700</v>
      </c>
      <c r="E40" s="69">
        <v>936</v>
      </c>
      <c r="F40" s="69">
        <v>1041</v>
      </c>
      <c r="G40" s="69">
        <v>1409</v>
      </c>
      <c r="H40" s="69" t="s">
        <v>4</v>
      </c>
      <c r="I40" s="69">
        <v>1680</v>
      </c>
      <c r="J40" s="69" t="s">
        <v>4</v>
      </c>
      <c r="K40" s="69">
        <v>540</v>
      </c>
      <c r="L40" s="69">
        <v>395</v>
      </c>
      <c r="M40" s="69">
        <v>218</v>
      </c>
      <c r="N40" s="69">
        <v>640</v>
      </c>
      <c r="O40" s="69">
        <v>808.5679057317784</v>
      </c>
      <c r="P40" s="69">
        <v>3200</v>
      </c>
    </row>
    <row r="41" spans="1:16" s="62" customFormat="1" ht="9">
      <c r="A41" s="67">
        <v>1980</v>
      </c>
      <c r="B41" s="69">
        <v>390</v>
      </c>
      <c r="C41" s="69">
        <v>403</v>
      </c>
      <c r="D41" s="69">
        <v>3200</v>
      </c>
      <c r="E41" s="69" t="s">
        <v>4</v>
      </c>
      <c r="F41" s="69">
        <v>1098</v>
      </c>
      <c r="G41" s="69">
        <v>1954</v>
      </c>
      <c r="H41" s="69">
        <v>300</v>
      </c>
      <c r="I41" s="69">
        <v>2947</v>
      </c>
      <c r="J41" s="69" t="s">
        <v>4</v>
      </c>
      <c r="K41" s="69">
        <v>543</v>
      </c>
      <c r="L41" s="69">
        <v>445</v>
      </c>
      <c r="M41" s="69">
        <v>411</v>
      </c>
      <c r="N41" s="69">
        <v>640</v>
      </c>
      <c r="O41" s="69">
        <v>731.5431647991564</v>
      </c>
      <c r="P41" s="69">
        <v>3070</v>
      </c>
    </row>
    <row r="42" spans="1:16" s="62" customFormat="1" ht="9">
      <c r="A42" s="67">
        <v>1985</v>
      </c>
      <c r="B42" s="69">
        <v>387</v>
      </c>
      <c r="C42" s="69">
        <v>475</v>
      </c>
      <c r="D42" s="69">
        <v>3300</v>
      </c>
      <c r="E42" s="69" t="s">
        <v>4</v>
      </c>
      <c r="F42" s="69">
        <v>1248</v>
      </c>
      <c r="G42" s="69">
        <v>1988</v>
      </c>
      <c r="H42" s="69" t="s">
        <v>4</v>
      </c>
      <c r="I42" s="69">
        <v>3744</v>
      </c>
      <c r="J42" s="69" t="s">
        <v>4</v>
      </c>
      <c r="K42" s="69">
        <v>571</v>
      </c>
      <c r="L42" s="69">
        <v>455</v>
      </c>
      <c r="M42" s="69" t="s">
        <v>4</v>
      </c>
      <c r="N42" s="69">
        <v>670</v>
      </c>
      <c r="O42" s="69">
        <v>773.9724827439459</v>
      </c>
      <c r="P42" s="69">
        <v>3660</v>
      </c>
    </row>
    <row r="43" spans="1:16" s="62" customFormat="1" ht="9">
      <c r="A43" s="67">
        <v>1990</v>
      </c>
      <c r="B43" s="69" t="s">
        <v>4</v>
      </c>
      <c r="C43" s="69">
        <v>486</v>
      </c>
      <c r="D43" s="69">
        <v>3277</v>
      </c>
      <c r="E43" s="69">
        <v>504</v>
      </c>
      <c r="F43" s="69">
        <v>1311</v>
      </c>
      <c r="G43" s="69">
        <v>2100</v>
      </c>
      <c r="H43" s="69">
        <v>257</v>
      </c>
      <c r="I43" s="69">
        <v>5080</v>
      </c>
      <c r="J43" s="69">
        <v>42</v>
      </c>
      <c r="K43" s="69">
        <v>601</v>
      </c>
      <c r="L43" s="69">
        <v>466</v>
      </c>
      <c r="M43" s="69">
        <v>600</v>
      </c>
      <c r="N43" s="69">
        <v>680</v>
      </c>
      <c r="O43" s="69">
        <v>1024.8938750104157</v>
      </c>
      <c r="P43" s="69">
        <v>4690</v>
      </c>
    </row>
    <row r="44" spans="1:16" s="62" customFormat="1" ht="9">
      <c r="A44" s="67">
        <v>1991</v>
      </c>
      <c r="B44" s="69">
        <v>402</v>
      </c>
      <c r="C44" s="69">
        <v>474</v>
      </c>
      <c r="D44" s="69">
        <v>4023</v>
      </c>
      <c r="E44" s="69">
        <v>493</v>
      </c>
      <c r="F44" s="69">
        <v>1393</v>
      </c>
      <c r="G44" s="69">
        <v>2200</v>
      </c>
      <c r="H44" s="69">
        <v>244</v>
      </c>
      <c r="I44" s="69">
        <v>5183</v>
      </c>
      <c r="J44" s="69">
        <v>45</v>
      </c>
      <c r="K44" s="69">
        <v>605</v>
      </c>
      <c r="L44" s="69">
        <v>460</v>
      </c>
      <c r="M44" s="69">
        <v>615</v>
      </c>
      <c r="N44" s="69">
        <v>650</v>
      </c>
      <c r="O44" s="69">
        <v>1065.38470673192</v>
      </c>
      <c r="P44" s="69">
        <v>4700</v>
      </c>
    </row>
    <row r="45" spans="1:16" s="62" customFormat="1" ht="9">
      <c r="A45" s="67">
        <v>1992</v>
      </c>
      <c r="B45" s="69">
        <v>402</v>
      </c>
      <c r="C45" s="69">
        <v>463</v>
      </c>
      <c r="D45" s="69">
        <v>3891</v>
      </c>
      <c r="E45" s="69">
        <v>503</v>
      </c>
      <c r="F45" s="69">
        <v>1396</v>
      </c>
      <c r="G45" s="69">
        <v>2300</v>
      </c>
      <c r="H45" s="69">
        <v>284</v>
      </c>
      <c r="I45" s="69">
        <v>5186</v>
      </c>
      <c r="J45" s="69" t="s">
        <v>4</v>
      </c>
      <c r="K45" s="69">
        <v>620</v>
      </c>
      <c r="L45" s="69">
        <v>465</v>
      </c>
      <c r="M45" s="69">
        <v>635</v>
      </c>
      <c r="N45" s="69">
        <v>640</v>
      </c>
      <c r="O45" s="69">
        <v>1108.306979245316</v>
      </c>
      <c r="P45" s="69">
        <v>4760</v>
      </c>
    </row>
    <row r="46" spans="1:16" s="62" customFormat="1" ht="9">
      <c r="A46" s="67">
        <v>1993</v>
      </c>
      <c r="B46" s="69" t="s">
        <v>4</v>
      </c>
      <c r="C46" s="69">
        <v>470</v>
      </c>
      <c r="D46" s="69">
        <v>3806</v>
      </c>
      <c r="E46" s="69" t="s">
        <v>4</v>
      </c>
      <c r="F46" s="69">
        <v>1438</v>
      </c>
      <c r="G46" s="69">
        <v>2300</v>
      </c>
      <c r="H46" s="69">
        <v>299</v>
      </c>
      <c r="I46" s="69" t="s">
        <v>4</v>
      </c>
      <c r="J46" s="69" t="s">
        <v>4</v>
      </c>
      <c r="K46" s="69">
        <v>621</v>
      </c>
      <c r="L46" s="69" t="s">
        <v>4</v>
      </c>
      <c r="M46" s="69">
        <v>660</v>
      </c>
      <c r="N46" s="69">
        <v>640</v>
      </c>
      <c r="O46" s="69">
        <v>1074.5505947850072</v>
      </c>
      <c r="P46" s="69">
        <v>4923</v>
      </c>
    </row>
    <row r="47" spans="1:16" s="62" customFormat="1" ht="9">
      <c r="A47" s="67">
        <v>1994</v>
      </c>
      <c r="B47" s="69" t="s">
        <v>4</v>
      </c>
      <c r="C47" s="69">
        <v>476</v>
      </c>
      <c r="D47" s="69">
        <v>3737</v>
      </c>
      <c r="E47" s="69">
        <v>520</v>
      </c>
      <c r="F47" s="69">
        <v>1501</v>
      </c>
      <c r="G47" s="69">
        <v>2300</v>
      </c>
      <c r="H47" s="69">
        <v>333</v>
      </c>
      <c r="I47" s="69" t="s">
        <v>4</v>
      </c>
      <c r="J47" s="69" t="s">
        <v>4</v>
      </c>
      <c r="K47" s="69">
        <v>622</v>
      </c>
      <c r="L47" s="69" t="s">
        <v>4</v>
      </c>
      <c r="M47" s="69">
        <v>680</v>
      </c>
      <c r="N47" s="69">
        <v>630</v>
      </c>
      <c r="O47" s="69">
        <v>1066.8397550518714</v>
      </c>
      <c r="P47" s="69">
        <v>5029</v>
      </c>
    </row>
    <row r="48" spans="1:16" s="62" customFormat="1" ht="9">
      <c r="A48" s="67">
        <v>1995</v>
      </c>
      <c r="B48" s="70">
        <v>650</v>
      </c>
      <c r="C48" s="69">
        <v>528</v>
      </c>
      <c r="D48" s="69">
        <v>3739</v>
      </c>
      <c r="E48" s="69">
        <v>530</v>
      </c>
      <c r="F48" s="69" t="s">
        <v>4</v>
      </c>
      <c r="G48" s="69">
        <v>2300</v>
      </c>
      <c r="H48" s="69">
        <v>355</v>
      </c>
      <c r="I48" s="69" t="s">
        <v>4</v>
      </c>
      <c r="J48" s="69" t="s">
        <v>4</v>
      </c>
      <c r="K48" s="69">
        <v>644</v>
      </c>
      <c r="L48" s="69" t="s">
        <v>4</v>
      </c>
      <c r="M48" s="69">
        <v>715</v>
      </c>
      <c r="N48" s="69">
        <v>620</v>
      </c>
      <c r="O48" s="69">
        <v>1079.7385487648828</v>
      </c>
      <c r="P48" s="69">
        <v>4978</v>
      </c>
    </row>
    <row r="49" spans="1:16" s="62" customFormat="1" ht="9">
      <c r="A49" s="67">
        <v>1996</v>
      </c>
      <c r="B49" s="70">
        <v>660</v>
      </c>
      <c r="C49" s="69">
        <v>576</v>
      </c>
      <c r="D49" s="69">
        <v>3700</v>
      </c>
      <c r="E49" s="69" t="s">
        <v>4</v>
      </c>
      <c r="F49" s="69" t="s">
        <v>4</v>
      </c>
      <c r="G49" s="69">
        <v>2300</v>
      </c>
      <c r="H49" s="69">
        <v>396</v>
      </c>
      <c r="I49" s="69" t="s">
        <v>4</v>
      </c>
      <c r="J49" s="69" t="s">
        <v>4</v>
      </c>
      <c r="K49" s="69">
        <v>646</v>
      </c>
      <c r="L49" s="69" t="s">
        <v>4</v>
      </c>
      <c r="M49" s="69" t="s">
        <v>4</v>
      </c>
      <c r="N49" s="69">
        <v>620</v>
      </c>
      <c r="O49" s="69">
        <v>1090.9785747948836</v>
      </c>
      <c r="P49" s="69">
        <v>5143</v>
      </c>
    </row>
    <row r="50" spans="1:16" s="62" customFormat="1" ht="9">
      <c r="A50" s="67">
        <v>1997</v>
      </c>
      <c r="B50" s="70">
        <v>660</v>
      </c>
      <c r="C50" s="69">
        <v>573</v>
      </c>
      <c r="D50" s="69">
        <v>3700</v>
      </c>
      <c r="E50" s="69" t="s">
        <v>4</v>
      </c>
      <c r="F50" s="69" t="s">
        <v>4</v>
      </c>
      <c r="G50" s="69">
        <v>2300</v>
      </c>
      <c r="H50" s="69" t="s">
        <v>4</v>
      </c>
      <c r="I50" s="69" t="s">
        <v>4</v>
      </c>
      <c r="J50" s="69" t="s">
        <v>4</v>
      </c>
      <c r="K50" s="69">
        <v>621</v>
      </c>
      <c r="L50" s="69" t="s">
        <v>4</v>
      </c>
      <c r="M50" s="69">
        <v>789</v>
      </c>
      <c r="N50" s="69">
        <v>620</v>
      </c>
      <c r="O50" s="69">
        <v>1114.583651965499</v>
      </c>
      <c r="P50" s="69">
        <v>5136</v>
      </c>
    </row>
    <row r="51" spans="1:16" s="62" customFormat="1" ht="9">
      <c r="A51" s="67">
        <v>1998</v>
      </c>
      <c r="B51" s="70">
        <v>680</v>
      </c>
      <c r="C51" s="69">
        <v>574</v>
      </c>
      <c r="D51" s="69" t="s">
        <v>4</v>
      </c>
      <c r="E51" s="69" t="s">
        <v>4</v>
      </c>
      <c r="F51" s="69" t="s">
        <v>4</v>
      </c>
      <c r="G51" s="69">
        <v>2300</v>
      </c>
      <c r="H51" s="69" t="s">
        <v>4</v>
      </c>
      <c r="I51" s="69" t="s">
        <v>4</v>
      </c>
      <c r="J51" s="69" t="s">
        <v>4</v>
      </c>
      <c r="K51" s="69" t="s">
        <v>4</v>
      </c>
      <c r="L51" s="69" t="s">
        <v>4</v>
      </c>
      <c r="M51" s="69" t="s">
        <v>4</v>
      </c>
      <c r="N51" s="69">
        <v>600</v>
      </c>
      <c r="O51" s="69">
        <v>1130.32</v>
      </c>
      <c r="P51" s="69">
        <v>5009</v>
      </c>
    </row>
    <row r="52" spans="1:16" s="62" customFormat="1" ht="9">
      <c r="A52" s="67">
        <v>1999</v>
      </c>
      <c r="B52" s="69" t="s">
        <v>4</v>
      </c>
      <c r="C52" s="69" t="s">
        <v>4</v>
      </c>
      <c r="D52" s="69" t="s">
        <v>4</v>
      </c>
      <c r="E52" s="69" t="s">
        <v>4</v>
      </c>
      <c r="F52" s="69" t="s">
        <v>4</v>
      </c>
      <c r="G52" s="69" t="s">
        <v>4</v>
      </c>
      <c r="H52" s="69" t="s">
        <v>4</v>
      </c>
      <c r="I52" s="69" t="s">
        <v>4</v>
      </c>
      <c r="J52" s="69" t="s">
        <v>4</v>
      </c>
      <c r="K52" s="69" t="s">
        <v>4</v>
      </c>
      <c r="L52" s="69" t="s">
        <v>4</v>
      </c>
      <c r="M52" s="69" t="s">
        <v>4</v>
      </c>
      <c r="N52" s="69">
        <v>590</v>
      </c>
      <c r="O52" s="69">
        <v>1153</v>
      </c>
      <c r="P52" s="69">
        <v>5000</v>
      </c>
    </row>
    <row r="53" s="62" customFormat="1" ht="9"/>
    <row r="54" spans="1:16" ht="12.75">
      <c r="A54" s="390" t="s">
        <v>84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</row>
    <row r="55" spans="1:16" s="62" customFormat="1" ht="9">
      <c r="A55" s="67">
        <v>1970</v>
      </c>
      <c r="B55" s="69">
        <v>3158</v>
      </c>
      <c r="C55" s="69">
        <v>3000</v>
      </c>
      <c r="D55" s="69">
        <v>26700</v>
      </c>
      <c r="E55" s="69">
        <v>1038</v>
      </c>
      <c r="F55" s="69">
        <v>10437</v>
      </c>
      <c r="G55" s="69" t="s">
        <v>4</v>
      </c>
      <c r="H55" s="69" t="s">
        <v>4</v>
      </c>
      <c r="I55" s="69">
        <v>22557</v>
      </c>
      <c r="J55" s="69" t="s">
        <v>4</v>
      </c>
      <c r="K55" s="69" t="s">
        <v>4</v>
      </c>
      <c r="L55" s="69">
        <v>3995</v>
      </c>
      <c r="M55" s="69">
        <v>2100</v>
      </c>
      <c r="N55" s="69" t="s">
        <v>4</v>
      </c>
      <c r="O55" s="69">
        <v>5012.439700022465</v>
      </c>
      <c r="P55" s="69">
        <v>37900</v>
      </c>
    </row>
    <row r="56" spans="1:16" s="62" customFormat="1" ht="9">
      <c r="A56" s="67">
        <v>1975</v>
      </c>
      <c r="B56" s="69">
        <v>3172</v>
      </c>
      <c r="C56" s="69">
        <v>3600</v>
      </c>
      <c r="D56" s="69">
        <v>27000</v>
      </c>
      <c r="E56" s="69">
        <v>1314</v>
      </c>
      <c r="F56" s="69">
        <v>14172</v>
      </c>
      <c r="G56" s="69">
        <v>11921</v>
      </c>
      <c r="H56" s="69" t="s">
        <v>4</v>
      </c>
      <c r="I56" s="69">
        <v>24208</v>
      </c>
      <c r="J56" s="69" t="s">
        <v>4</v>
      </c>
      <c r="K56" s="69" t="s">
        <v>4</v>
      </c>
      <c r="L56" s="69">
        <v>4819</v>
      </c>
      <c r="M56" s="69">
        <v>3300</v>
      </c>
      <c r="N56" s="69">
        <v>3850</v>
      </c>
      <c r="O56" s="69">
        <v>4647.280732021885</v>
      </c>
      <c r="P56" s="69">
        <v>41800</v>
      </c>
    </row>
    <row r="57" spans="1:16" s="62" customFormat="1" ht="9">
      <c r="A57" s="67">
        <v>1980</v>
      </c>
      <c r="B57" s="69">
        <v>3214</v>
      </c>
      <c r="C57" s="69">
        <v>5373</v>
      </c>
      <c r="D57" s="69">
        <v>33700</v>
      </c>
      <c r="E57" s="69" t="s">
        <v>4</v>
      </c>
      <c r="F57" s="69">
        <v>16414</v>
      </c>
      <c r="G57" s="69">
        <v>13687</v>
      </c>
      <c r="H57" s="69">
        <v>1253</v>
      </c>
      <c r="I57" s="69">
        <v>33014</v>
      </c>
      <c r="J57" s="69">
        <v>299</v>
      </c>
      <c r="K57" s="69">
        <v>8363</v>
      </c>
      <c r="L57" s="69">
        <v>6063</v>
      </c>
      <c r="M57" s="69">
        <v>4100</v>
      </c>
      <c r="N57" s="69">
        <v>3940</v>
      </c>
      <c r="O57" s="69">
        <v>5414.059870599807</v>
      </c>
      <c r="P57" s="69">
        <v>41670</v>
      </c>
    </row>
    <row r="58" spans="1:16" s="62" customFormat="1" ht="9">
      <c r="A58" s="67">
        <v>1985</v>
      </c>
      <c r="B58" s="69">
        <v>3219</v>
      </c>
      <c r="C58" s="69">
        <v>5439</v>
      </c>
      <c r="D58" s="69">
        <v>34400</v>
      </c>
      <c r="E58" s="69" t="s">
        <v>4</v>
      </c>
      <c r="F58" s="69">
        <v>18483</v>
      </c>
      <c r="G58" s="69">
        <v>12005</v>
      </c>
      <c r="H58" s="69">
        <v>1031</v>
      </c>
      <c r="I58" s="69">
        <v>40521</v>
      </c>
      <c r="J58" s="69">
        <v>336</v>
      </c>
      <c r="K58" s="69">
        <v>8860</v>
      </c>
      <c r="L58" s="69">
        <v>6823</v>
      </c>
      <c r="M58" s="69">
        <v>5200</v>
      </c>
      <c r="N58" s="69">
        <v>4510</v>
      </c>
      <c r="O58" s="69">
        <v>5844.986535188396</v>
      </c>
      <c r="P58" s="69">
        <v>48180</v>
      </c>
    </row>
    <row r="59" spans="1:16" s="62" customFormat="1" ht="9">
      <c r="A59" s="67">
        <v>1990</v>
      </c>
      <c r="B59" s="69">
        <v>2880</v>
      </c>
      <c r="C59" s="69">
        <v>6146</v>
      </c>
      <c r="D59" s="69">
        <v>40316</v>
      </c>
      <c r="E59" s="69" t="s">
        <v>4</v>
      </c>
      <c r="F59" s="69">
        <v>25310</v>
      </c>
      <c r="G59" s="69">
        <v>15237</v>
      </c>
      <c r="H59" s="69" t="s">
        <v>4</v>
      </c>
      <c r="I59" s="69">
        <v>47842</v>
      </c>
      <c r="J59" s="69">
        <v>421</v>
      </c>
      <c r="K59" s="69">
        <v>12812</v>
      </c>
      <c r="L59" s="69">
        <v>8333</v>
      </c>
      <c r="M59" s="69">
        <v>2233</v>
      </c>
      <c r="N59" s="69">
        <v>5640</v>
      </c>
      <c r="O59" s="69">
        <v>8225.613140447222</v>
      </c>
      <c r="P59" s="69">
        <v>65740</v>
      </c>
    </row>
    <row r="60" spans="1:16" s="62" customFormat="1" ht="9">
      <c r="A60" s="67">
        <v>1991</v>
      </c>
      <c r="B60" s="69">
        <v>3179</v>
      </c>
      <c r="C60" s="69">
        <v>6176</v>
      </c>
      <c r="D60" s="69">
        <v>53355</v>
      </c>
      <c r="E60" s="69" t="s">
        <v>4</v>
      </c>
      <c r="F60" s="69">
        <v>26404</v>
      </c>
      <c r="G60" s="69">
        <v>15548</v>
      </c>
      <c r="H60" s="69" t="s">
        <v>4</v>
      </c>
      <c r="I60" s="69">
        <v>49021</v>
      </c>
      <c r="J60" s="69">
        <v>575</v>
      </c>
      <c r="K60" s="69">
        <v>13600</v>
      </c>
      <c r="L60" s="69">
        <v>8557</v>
      </c>
      <c r="M60" s="69">
        <v>2404</v>
      </c>
      <c r="N60" s="69">
        <v>5390</v>
      </c>
      <c r="O60" s="69">
        <v>8333.787940796225</v>
      </c>
      <c r="P60" s="69">
        <v>62400</v>
      </c>
    </row>
    <row r="61" spans="1:16" s="62" customFormat="1" ht="9">
      <c r="A61" s="67">
        <v>1992</v>
      </c>
      <c r="B61" s="69" t="s">
        <v>4</v>
      </c>
      <c r="C61" s="69">
        <v>6208</v>
      </c>
      <c r="D61" s="69">
        <v>57073</v>
      </c>
      <c r="E61" s="69" t="s">
        <v>4</v>
      </c>
      <c r="F61" s="69">
        <v>27258</v>
      </c>
      <c r="G61" s="69">
        <v>15914</v>
      </c>
      <c r="H61" s="69">
        <v>2034</v>
      </c>
      <c r="I61" s="69">
        <v>50529</v>
      </c>
      <c r="J61" s="69">
        <v>236</v>
      </c>
      <c r="K61" s="69">
        <v>15970</v>
      </c>
      <c r="L61" s="69">
        <v>8886</v>
      </c>
      <c r="M61" s="69">
        <v>1905</v>
      </c>
      <c r="N61" s="69">
        <v>5660</v>
      </c>
      <c r="O61" s="69">
        <v>8343.558773405563</v>
      </c>
      <c r="P61" s="69">
        <v>65802</v>
      </c>
    </row>
    <row r="62" spans="1:16" s="62" customFormat="1" ht="9">
      <c r="A62" s="67">
        <v>1993</v>
      </c>
      <c r="B62" s="69" t="s">
        <v>4</v>
      </c>
      <c r="C62" s="69">
        <v>6207</v>
      </c>
      <c r="D62" s="69">
        <v>58039</v>
      </c>
      <c r="E62" s="69" t="s">
        <v>4</v>
      </c>
      <c r="F62" s="69">
        <v>27954</v>
      </c>
      <c r="G62" s="69">
        <v>15178</v>
      </c>
      <c r="H62" s="69">
        <v>2039</v>
      </c>
      <c r="I62" s="69" t="s">
        <v>4</v>
      </c>
      <c r="J62" s="69">
        <v>275</v>
      </c>
      <c r="K62" s="69">
        <v>17123</v>
      </c>
      <c r="L62" s="69" t="s">
        <v>4</v>
      </c>
      <c r="M62" s="69" t="s">
        <v>4</v>
      </c>
      <c r="N62" s="69">
        <v>5690</v>
      </c>
      <c r="O62" s="69">
        <v>8101.086277372823</v>
      </c>
      <c r="P62" s="69">
        <v>29324</v>
      </c>
    </row>
    <row r="63" spans="1:16" s="62" customFormat="1" ht="9">
      <c r="A63" s="67">
        <v>1994</v>
      </c>
      <c r="B63" s="69" t="s">
        <v>4</v>
      </c>
      <c r="C63" s="69">
        <v>6286</v>
      </c>
      <c r="D63" s="69">
        <v>62627</v>
      </c>
      <c r="E63" s="69" t="s">
        <v>4</v>
      </c>
      <c r="F63" s="69">
        <v>29163</v>
      </c>
      <c r="G63" s="69">
        <v>16095</v>
      </c>
      <c r="H63" s="69">
        <v>2244</v>
      </c>
      <c r="I63" s="69" t="s">
        <v>4</v>
      </c>
      <c r="J63" s="69" t="s">
        <v>4</v>
      </c>
      <c r="K63" s="69">
        <v>17206</v>
      </c>
      <c r="L63" s="69" t="s">
        <v>4</v>
      </c>
      <c r="M63" s="69" t="s">
        <v>4</v>
      </c>
      <c r="N63" s="69">
        <v>5700</v>
      </c>
      <c r="O63" s="69">
        <v>8135.450115704252</v>
      </c>
      <c r="P63" s="69">
        <v>30462</v>
      </c>
    </row>
    <row r="64" spans="1:16" s="62" customFormat="1" ht="9">
      <c r="A64" s="67">
        <v>1995</v>
      </c>
      <c r="B64" s="70">
        <v>10970</v>
      </c>
      <c r="C64" s="69">
        <v>6448</v>
      </c>
      <c r="D64" s="69">
        <v>65412</v>
      </c>
      <c r="E64" s="69" t="s">
        <v>4</v>
      </c>
      <c r="F64" s="69" t="s">
        <v>4</v>
      </c>
      <c r="G64" s="69">
        <v>16379</v>
      </c>
      <c r="H64" s="69">
        <v>1956</v>
      </c>
      <c r="I64" s="69" t="s">
        <v>4</v>
      </c>
      <c r="J64" s="69" t="s">
        <v>4</v>
      </c>
      <c r="K64" s="69">
        <v>18184</v>
      </c>
      <c r="L64" s="69" t="s">
        <v>4</v>
      </c>
      <c r="M64" s="69" t="s">
        <v>4</v>
      </c>
      <c r="N64" s="69">
        <v>5790</v>
      </c>
      <c r="O64" s="69">
        <v>8247.087063635496</v>
      </c>
      <c r="P64" s="69">
        <v>30722</v>
      </c>
    </row>
    <row r="65" spans="1:16" s="62" customFormat="1" ht="9">
      <c r="A65" s="67">
        <v>1996</v>
      </c>
      <c r="B65" s="70">
        <v>11200</v>
      </c>
      <c r="C65" s="69">
        <v>6490</v>
      </c>
      <c r="D65" s="69">
        <v>62600</v>
      </c>
      <c r="E65" s="69" t="s">
        <v>4</v>
      </c>
      <c r="F65" s="69" t="s">
        <v>4</v>
      </c>
      <c r="G65" s="69">
        <v>18000</v>
      </c>
      <c r="H65" s="69">
        <v>2031</v>
      </c>
      <c r="I65" s="69" t="s">
        <v>4</v>
      </c>
      <c r="J65" s="69" t="s">
        <v>4</v>
      </c>
      <c r="K65" s="69">
        <v>18973</v>
      </c>
      <c r="L65" s="69" t="s">
        <v>4</v>
      </c>
      <c r="M65" s="69">
        <v>2836</v>
      </c>
      <c r="N65" s="69">
        <v>5900</v>
      </c>
      <c r="O65" s="69">
        <v>8260.765306457868</v>
      </c>
      <c r="P65" s="69">
        <v>31659</v>
      </c>
    </row>
    <row r="66" spans="1:16" s="62" customFormat="1" ht="9">
      <c r="A66" s="67">
        <v>1997</v>
      </c>
      <c r="B66" s="70">
        <v>11400</v>
      </c>
      <c r="C66" s="69">
        <v>6558</v>
      </c>
      <c r="D66" s="69">
        <v>65200</v>
      </c>
      <c r="E66" s="69" t="s">
        <v>4</v>
      </c>
      <c r="F66" s="69" t="s">
        <v>4</v>
      </c>
      <c r="G66" s="69">
        <v>20900</v>
      </c>
      <c r="H66" s="69" t="s">
        <v>4</v>
      </c>
      <c r="I66" s="69" t="s">
        <v>4</v>
      </c>
      <c r="J66" s="69" t="s">
        <v>4</v>
      </c>
      <c r="K66" s="69">
        <v>19926</v>
      </c>
      <c r="L66" s="69" t="s">
        <v>4</v>
      </c>
      <c r="M66" s="69">
        <v>2942</v>
      </c>
      <c r="N66" s="69">
        <v>6120</v>
      </c>
      <c r="O66" s="69">
        <v>8389.18243219427</v>
      </c>
      <c r="P66" s="69">
        <v>33049</v>
      </c>
    </row>
    <row r="67" spans="1:16" s="62" customFormat="1" ht="9">
      <c r="A67" s="67">
        <v>1998</v>
      </c>
      <c r="B67" s="70">
        <v>11900</v>
      </c>
      <c r="C67" s="69">
        <v>6834</v>
      </c>
      <c r="D67" s="69" t="s">
        <v>4</v>
      </c>
      <c r="E67" s="69" t="s">
        <v>4</v>
      </c>
      <c r="F67" s="69" t="s">
        <v>4</v>
      </c>
      <c r="G67" s="69">
        <v>21400</v>
      </c>
      <c r="H67" s="69" t="s">
        <v>4</v>
      </c>
      <c r="I67" s="69" t="s">
        <v>4</v>
      </c>
      <c r="J67" s="69" t="s">
        <v>4</v>
      </c>
      <c r="K67" s="69" t="s">
        <v>4</v>
      </c>
      <c r="L67" s="69" t="s">
        <v>4</v>
      </c>
      <c r="M67" s="69">
        <v>2937</v>
      </c>
      <c r="N67" s="69">
        <v>6120</v>
      </c>
      <c r="O67" s="69">
        <v>8649.33</v>
      </c>
      <c r="P67" s="69">
        <v>32092</v>
      </c>
    </row>
    <row r="68" spans="1:16" s="62" customFormat="1" ht="9">
      <c r="A68" s="67">
        <v>1999</v>
      </c>
      <c r="B68" s="69" t="s">
        <v>4</v>
      </c>
      <c r="C68" s="69" t="s">
        <v>4</v>
      </c>
      <c r="D68" s="69" t="s">
        <v>4</v>
      </c>
      <c r="E68" s="69" t="s">
        <v>4</v>
      </c>
      <c r="F68" s="69" t="s">
        <v>4</v>
      </c>
      <c r="G68" s="69" t="s">
        <v>4</v>
      </c>
      <c r="H68" s="69" t="s">
        <v>4</v>
      </c>
      <c r="I68" s="69" t="s">
        <v>4</v>
      </c>
      <c r="J68" s="69" t="s">
        <v>4</v>
      </c>
      <c r="K68" s="69" t="s">
        <v>4</v>
      </c>
      <c r="L68" s="69" t="s">
        <v>4</v>
      </c>
      <c r="M68" s="69" t="s">
        <v>4</v>
      </c>
      <c r="N68" s="69">
        <v>6230</v>
      </c>
      <c r="O68" s="69">
        <v>9153</v>
      </c>
      <c r="P68" s="69" t="s">
        <v>4</v>
      </c>
    </row>
    <row r="69" spans="1:16" s="62" customFormat="1" ht="9">
      <c r="A69" s="72"/>
      <c r="B69" s="73"/>
      <c r="C69" s="73"/>
      <c r="D69" s="73"/>
      <c r="E69" s="73"/>
      <c r="F69" s="73"/>
      <c r="G69" s="73"/>
      <c r="H69" s="73"/>
      <c r="I69" s="73"/>
      <c r="J69" s="74"/>
      <c r="K69" s="73"/>
      <c r="L69" s="73"/>
      <c r="M69" s="73"/>
      <c r="N69" s="73"/>
      <c r="O69" s="73"/>
      <c r="P69" s="73"/>
    </row>
    <row r="70" ht="12.75">
      <c r="A70" s="71" t="s">
        <v>85</v>
      </c>
    </row>
    <row r="71" ht="12.75">
      <c r="A71" s="71" t="s">
        <v>86</v>
      </c>
    </row>
    <row r="72" ht="12.75">
      <c r="A72" s="71"/>
    </row>
    <row r="73" ht="12.75">
      <c r="A73" s="60" t="s">
        <v>89</v>
      </c>
    </row>
    <row r="75" ht="12.75">
      <c r="A75" s="75" t="s">
        <v>87</v>
      </c>
    </row>
    <row r="77" spans="1:16" s="62" customFormat="1" ht="9">
      <c r="A77" s="64"/>
      <c r="B77" s="65" t="s">
        <v>66</v>
      </c>
      <c r="C77" s="65" t="s">
        <v>67</v>
      </c>
      <c r="D77" s="65" t="s">
        <v>68</v>
      </c>
      <c r="E77" s="65" t="s">
        <v>10</v>
      </c>
      <c r="F77" s="65" t="s">
        <v>69</v>
      </c>
      <c r="G77" s="65" t="s">
        <v>70</v>
      </c>
      <c r="H77" s="65" t="s">
        <v>71</v>
      </c>
      <c r="I77" s="65" t="s">
        <v>72</v>
      </c>
      <c r="J77" s="65" t="s">
        <v>73</v>
      </c>
      <c r="K77" s="65" t="s">
        <v>74</v>
      </c>
      <c r="L77" s="65" t="s">
        <v>75</v>
      </c>
      <c r="M77" s="65" t="s">
        <v>76</v>
      </c>
      <c r="N77" s="65" t="s">
        <v>77</v>
      </c>
      <c r="O77" s="65" t="s">
        <v>78</v>
      </c>
      <c r="P77" s="66" t="s">
        <v>79</v>
      </c>
    </row>
    <row r="78" spans="1:16" ht="12.75">
      <c r="A78" s="390" t="s">
        <v>88</v>
      </c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</row>
    <row r="79" spans="1:16" s="62" customFormat="1" ht="9">
      <c r="A79" s="67">
        <v>1970</v>
      </c>
      <c r="B79" s="68" t="s">
        <v>4</v>
      </c>
      <c r="C79" s="68" t="s">
        <v>4</v>
      </c>
      <c r="D79" s="68" t="s">
        <v>4</v>
      </c>
      <c r="E79" s="68" t="s">
        <v>4</v>
      </c>
      <c r="F79" s="68">
        <v>0</v>
      </c>
      <c r="G79" s="68" t="s">
        <v>4</v>
      </c>
      <c r="H79" s="68">
        <v>0</v>
      </c>
      <c r="I79" s="68" t="s">
        <v>4</v>
      </c>
      <c r="J79" s="68" t="s">
        <v>4</v>
      </c>
      <c r="K79" s="68" t="s">
        <v>4</v>
      </c>
      <c r="L79" s="68" t="s">
        <v>4</v>
      </c>
      <c r="M79" s="68" t="s">
        <v>4</v>
      </c>
      <c r="N79" s="68">
        <v>0</v>
      </c>
      <c r="O79" s="68" t="s">
        <v>4</v>
      </c>
      <c r="P79" s="68">
        <v>0</v>
      </c>
    </row>
    <row r="80" spans="1:16" s="62" customFormat="1" ht="9">
      <c r="A80" s="67">
        <v>1975</v>
      </c>
      <c r="B80" s="68" t="s">
        <v>4</v>
      </c>
      <c r="C80" s="68" t="s">
        <v>4</v>
      </c>
      <c r="D80" s="68" t="s">
        <v>4</v>
      </c>
      <c r="E80" s="68" t="s">
        <v>4</v>
      </c>
      <c r="F80" s="68">
        <v>0</v>
      </c>
      <c r="G80" s="68" t="s">
        <v>4</v>
      </c>
      <c r="H80" s="68">
        <v>0</v>
      </c>
      <c r="I80" s="68" t="s">
        <v>4</v>
      </c>
      <c r="J80" s="68" t="s">
        <v>4</v>
      </c>
      <c r="K80" s="68" t="s">
        <v>4</v>
      </c>
      <c r="L80" s="68" t="s">
        <v>4</v>
      </c>
      <c r="M80" s="68" t="s">
        <v>4</v>
      </c>
      <c r="N80" s="68">
        <v>0</v>
      </c>
      <c r="O80" s="68" t="s">
        <v>4</v>
      </c>
      <c r="P80" s="68">
        <v>0</v>
      </c>
    </row>
    <row r="81" spans="1:16" s="62" customFormat="1" ht="9">
      <c r="A81" s="67">
        <v>1980</v>
      </c>
      <c r="B81" s="68" t="s">
        <v>4</v>
      </c>
      <c r="C81" s="68" t="s">
        <v>4</v>
      </c>
      <c r="D81" s="68">
        <v>3400</v>
      </c>
      <c r="E81" s="68" t="s">
        <v>4</v>
      </c>
      <c r="F81" s="68">
        <v>0</v>
      </c>
      <c r="G81" s="68" t="s">
        <v>4</v>
      </c>
      <c r="H81" s="68">
        <v>0</v>
      </c>
      <c r="I81" s="68">
        <v>18418</v>
      </c>
      <c r="J81" s="68" t="s">
        <v>4</v>
      </c>
      <c r="K81" s="68">
        <v>1720</v>
      </c>
      <c r="L81" s="68">
        <v>1385</v>
      </c>
      <c r="M81" s="68">
        <v>695</v>
      </c>
      <c r="N81" s="68">
        <v>0</v>
      </c>
      <c r="O81" s="68" t="s">
        <v>4</v>
      </c>
      <c r="P81" s="68">
        <v>0</v>
      </c>
    </row>
    <row r="82" spans="1:16" s="62" customFormat="1" ht="9">
      <c r="A82" s="67">
        <v>1985</v>
      </c>
      <c r="B82" s="68" t="s">
        <v>4</v>
      </c>
      <c r="C82" s="68">
        <v>0</v>
      </c>
      <c r="D82" s="68">
        <v>2800</v>
      </c>
      <c r="E82" s="68" t="s">
        <v>4</v>
      </c>
      <c r="F82" s="68">
        <v>0</v>
      </c>
      <c r="G82" s="68" t="s">
        <v>4</v>
      </c>
      <c r="H82" s="68">
        <v>0</v>
      </c>
      <c r="I82" s="68">
        <v>20262</v>
      </c>
      <c r="J82" s="68" t="s">
        <v>4</v>
      </c>
      <c r="K82" s="68">
        <v>1660</v>
      </c>
      <c r="L82" s="68">
        <v>1201</v>
      </c>
      <c r="M82" s="68">
        <v>740</v>
      </c>
      <c r="N82" s="68">
        <v>0</v>
      </c>
      <c r="O82" s="68" t="s">
        <v>4</v>
      </c>
      <c r="P82" s="68">
        <v>0</v>
      </c>
    </row>
    <row r="83" spans="1:16" s="62" customFormat="1" ht="9">
      <c r="A83" s="67">
        <v>1990</v>
      </c>
      <c r="B83" s="68" t="s">
        <v>4</v>
      </c>
      <c r="C83" s="68">
        <v>0</v>
      </c>
      <c r="D83" s="68">
        <v>1700</v>
      </c>
      <c r="E83" s="68" t="s">
        <v>4</v>
      </c>
      <c r="F83" s="68">
        <v>0</v>
      </c>
      <c r="G83" s="68" t="s">
        <v>4</v>
      </c>
      <c r="H83" s="68">
        <v>0</v>
      </c>
      <c r="I83" s="68">
        <v>27788</v>
      </c>
      <c r="J83" s="68" t="s">
        <v>4</v>
      </c>
      <c r="K83" s="68">
        <v>1570</v>
      </c>
      <c r="L83" s="68">
        <v>618</v>
      </c>
      <c r="M83" s="68">
        <v>557</v>
      </c>
      <c r="N83" s="68">
        <v>0</v>
      </c>
      <c r="O83" s="68">
        <v>400</v>
      </c>
      <c r="P83" s="68">
        <v>0</v>
      </c>
    </row>
    <row r="84" spans="1:16" s="62" customFormat="1" ht="9">
      <c r="A84" s="67">
        <v>1991</v>
      </c>
      <c r="B84" s="68" t="s">
        <v>4</v>
      </c>
      <c r="C84" s="68">
        <v>0</v>
      </c>
      <c r="D84" s="68">
        <v>2900</v>
      </c>
      <c r="E84" s="68" t="s">
        <v>4</v>
      </c>
      <c r="F84" s="68">
        <v>0</v>
      </c>
      <c r="G84" s="68" t="s">
        <v>4</v>
      </c>
      <c r="H84" s="68">
        <v>0</v>
      </c>
      <c r="I84" s="68">
        <v>25613</v>
      </c>
      <c r="J84" s="68" t="s">
        <v>4</v>
      </c>
      <c r="K84" s="68" t="s">
        <v>4</v>
      </c>
      <c r="L84" s="68">
        <v>520</v>
      </c>
      <c r="M84" s="68">
        <v>440</v>
      </c>
      <c r="N84" s="68">
        <v>0</v>
      </c>
      <c r="O84" s="68">
        <v>200</v>
      </c>
      <c r="P84" s="68">
        <v>0</v>
      </c>
    </row>
    <row r="85" spans="1:16" s="62" customFormat="1" ht="9">
      <c r="A85" s="67">
        <v>1992</v>
      </c>
      <c r="B85" s="68" t="s">
        <v>4</v>
      </c>
      <c r="C85" s="68">
        <v>0</v>
      </c>
      <c r="D85" s="68">
        <v>3200</v>
      </c>
      <c r="E85" s="68" t="s">
        <v>4</v>
      </c>
      <c r="F85" s="68">
        <v>0</v>
      </c>
      <c r="G85" s="68" t="s">
        <v>4</v>
      </c>
      <c r="H85" s="68">
        <v>0</v>
      </c>
      <c r="I85" s="68">
        <v>29022</v>
      </c>
      <c r="J85" s="68" t="s">
        <v>4</v>
      </c>
      <c r="K85" s="68">
        <v>1192</v>
      </c>
      <c r="L85" s="68">
        <v>443</v>
      </c>
      <c r="M85" s="68">
        <v>490</v>
      </c>
      <c r="N85" s="68">
        <v>0</v>
      </c>
      <c r="O85" s="68">
        <v>200</v>
      </c>
      <c r="P85" s="68">
        <v>0</v>
      </c>
    </row>
    <row r="86" spans="1:16" s="62" customFormat="1" ht="9">
      <c r="A86" s="67">
        <v>1993</v>
      </c>
      <c r="B86" s="68" t="s">
        <v>4</v>
      </c>
      <c r="C86" s="68">
        <v>0</v>
      </c>
      <c r="D86" s="68">
        <v>2694</v>
      </c>
      <c r="E86" s="68" t="s">
        <v>4</v>
      </c>
      <c r="F86" s="68">
        <v>0</v>
      </c>
      <c r="G86" s="68" t="s">
        <v>4</v>
      </c>
      <c r="H86" s="68">
        <v>0</v>
      </c>
      <c r="I86" s="68" t="s">
        <v>4</v>
      </c>
      <c r="J86" s="68" t="s">
        <v>4</v>
      </c>
      <c r="K86" s="68">
        <v>1290</v>
      </c>
      <c r="L86" s="68" t="s">
        <v>4</v>
      </c>
      <c r="M86" s="68" t="s">
        <v>4</v>
      </c>
      <c r="N86" s="68">
        <v>0</v>
      </c>
      <c r="O86" s="68" t="s">
        <v>4</v>
      </c>
      <c r="P86" s="68">
        <v>0</v>
      </c>
    </row>
    <row r="87" spans="1:16" s="62" customFormat="1" ht="9">
      <c r="A87" s="67">
        <v>1994</v>
      </c>
      <c r="B87" s="68" t="s">
        <v>4</v>
      </c>
      <c r="C87" s="68">
        <v>1</v>
      </c>
      <c r="D87" s="68">
        <v>3800</v>
      </c>
      <c r="E87" s="68" t="s">
        <v>4</v>
      </c>
      <c r="F87" s="68">
        <v>0</v>
      </c>
      <c r="G87" s="68" t="s">
        <v>4</v>
      </c>
      <c r="H87" s="68">
        <v>0</v>
      </c>
      <c r="I87" s="68" t="s">
        <v>4</v>
      </c>
      <c r="J87" s="68" t="s">
        <v>4</v>
      </c>
      <c r="K87" s="68" t="s">
        <v>4</v>
      </c>
      <c r="L87" s="68" t="s">
        <v>4</v>
      </c>
      <c r="M87" s="68" t="s">
        <v>4</v>
      </c>
      <c r="N87" s="68">
        <v>0</v>
      </c>
      <c r="O87" s="68" t="s">
        <v>4</v>
      </c>
      <c r="P87" s="68">
        <v>0</v>
      </c>
    </row>
    <row r="88" spans="1:16" s="62" customFormat="1" ht="9">
      <c r="A88" s="67">
        <v>1995</v>
      </c>
      <c r="B88" s="68" t="s">
        <v>4</v>
      </c>
      <c r="C88" s="68">
        <v>8</v>
      </c>
      <c r="D88" s="68">
        <v>2657</v>
      </c>
      <c r="E88" s="68" t="s">
        <v>4</v>
      </c>
      <c r="F88" s="68">
        <v>0</v>
      </c>
      <c r="G88" s="68" t="s">
        <v>4</v>
      </c>
      <c r="H88" s="68">
        <v>0</v>
      </c>
      <c r="I88" s="68" t="s">
        <v>4</v>
      </c>
      <c r="J88" s="68" t="s">
        <v>4</v>
      </c>
      <c r="K88" s="68" t="s">
        <v>4</v>
      </c>
      <c r="L88" s="68" t="s">
        <v>4</v>
      </c>
      <c r="M88" s="68" t="s">
        <v>4</v>
      </c>
      <c r="N88" s="68">
        <v>0</v>
      </c>
      <c r="O88" s="68" t="s">
        <v>4</v>
      </c>
      <c r="P88" s="68">
        <v>0</v>
      </c>
    </row>
    <row r="89" spans="1:16" s="62" customFormat="1" ht="9">
      <c r="A89" s="67">
        <v>1996</v>
      </c>
      <c r="B89" s="68" t="s">
        <v>4</v>
      </c>
      <c r="C89" s="68">
        <v>27</v>
      </c>
      <c r="D89" s="68">
        <v>3800</v>
      </c>
      <c r="E89" s="68" t="s">
        <v>4</v>
      </c>
      <c r="F89" s="68">
        <v>0</v>
      </c>
      <c r="G89" s="68" t="s">
        <v>4</v>
      </c>
      <c r="H89" s="68">
        <v>0</v>
      </c>
      <c r="I89" s="68" t="s">
        <v>4</v>
      </c>
      <c r="J89" s="68" t="s">
        <v>4</v>
      </c>
      <c r="K89" s="68" t="s">
        <v>4</v>
      </c>
      <c r="L89" s="68" t="s">
        <v>4</v>
      </c>
      <c r="M89" s="68" t="s">
        <v>4</v>
      </c>
      <c r="N89" s="68">
        <v>0</v>
      </c>
      <c r="O89" s="68" t="s">
        <v>4</v>
      </c>
      <c r="P89" s="68">
        <v>0</v>
      </c>
    </row>
    <row r="90" spans="1:16" s="62" customFormat="1" ht="9">
      <c r="A90" s="67">
        <v>1997</v>
      </c>
      <c r="B90" s="68" t="s">
        <v>4</v>
      </c>
      <c r="C90" s="68">
        <v>59</v>
      </c>
      <c r="D90" s="68">
        <v>3800</v>
      </c>
      <c r="E90" s="68" t="s">
        <v>4</v>
      </c>
      <c r="F90" s="68">
        <v>0</v>
      </c>
      <c r="G90" s="68" t="s">
        <v>4</v>
      </c>
      <c r="H90" s="68">
        <v>0</v>
      </c>
      <c r="I90" s="68" t="s">
        <v>4</v>
      </c>
      <c r="J90" s="68" t="s">
        <v>4</v>
      </c>
      <c r="K90" s="68" t="s">
        <v>4</v>
      </c>
      <c r="L90" s="68" t="s">
        <v>4</v>
      </c>
      <c r="M90" s="68" t="s">
        <v>4</v>
      </c>
      <c r="N90" s="68">
        <v>0</v>
      </c>
      <c r="O90" s="68" t="s">
        <v>4</v>
      </c>
      <c r="P90" s="68">
        <v>0</v>
      </c>
    </row>
    <row r="91" spans="1:16" s="62" customFormat="1" ht="9">
      <c r="A91" s="67">
        <v>1998</v>
      </c>
      <c r="B91" s="68" t="s">
        <v>4</v>
      </c>
      <c r="C91" s="68">
        <v>93</v>
      </c>
      <c r="D91" s="68" t="s">
        <v>4</v>
      </c>
      <c r="E91" s="68" t="s">
        <v>4</v>
      </c>
      <c r="F91" s="68">
        <v>0</v>
      </c>
      <c r="G91" s="68" t="s">
        <v>4</v>
      </c>
      <c r="H91" s="68">
        <v>0</v>
      </c>
      <c r="I91" s="68" t="s">
        <v>4</v>
      </c>
      <c r="J91" s="68" t="s">
        <v>4</v>
      </c>
      <c r="K91" s="68" t="s">
        <v>4</v>
      </c>
      <c r="L91" s="68" t="s">
        <v>4</v>
      </c>
      <c r="M91" s="68" t="s">
        <v>4</v>
      </c>
      <c r="N91" s="68">
        <v>0</v>
      </c>
      <c r="O91" s="68" t="s">
        <v>4</v>
      </c>
      <c r="P91" s="68">
        <v>0</v>
      </c>
    </row>
    <row r="92" spans="1:16" ht="9" customHeight="1">
      <c r="A92" s="67">
        <v>1999</v>
      </c>
      <c r="P92" s="68">
        <v>0</v>
      </c>
    </row>
    <row r="93" spans="1:16" ht="12.75">
      <c r="A93" s="390" t="s">
        <v>52</v>
      </c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</row>
    <row r="94" spans="1:16" s="62" customFormat="1" ht="9">
      <c r="A94" s="67">
        <v>1970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1:16" s="62" customFormat="1" ht="9">
      <c r="A95" s="67">
        <v>1975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1:16" s="62" customFormat="1" ht="9">
      <c r="A96" s="67">
        <v>1980</v>
      </c>
      <c r="B96" s="68"/>
      <c r="C96" s="68"/>
      <c r="D96" s="68">
        <v>2300</v>
      </c>
      <c r="E96" s="68"/>
      <c r="F96" s="68">
        <v>1657</v>
      </c>
      <c r="G96" s="68"/>
      <c r="H96" s="68">
        <v>342</v>
      </c>
      <c r="I96" s="68">
        <v>6334</v>
      </c>
      <c r="J96" s="68"/>
      <c r="K96" s="68">
        <v>780</v>
      </c>
      <c r="L96" s="68">
        <v>285</v>
      </c>
      <c r="M96" s="68"/>
      <c r="N96" s="68">
        <v>600</v>
      </c>
      <c r="O96" s="68"/>
      <c r="P96" s="68">
        <v>6025</v>
      </c>
    </row>
    <row r="97" spans="1:16" s="62" customFormat="1" ht="9">
      <c r="A97" s="67">
        <v>1985</v>
      </c>
      <c r="B97" s="68"/>
      <c r="C97" s="68">
        <v>268</v>
      </c>
      <c r="D97" s="68">
        <v>4600</v>
      </c>
      <c r="E97" s="68"/>
      <c r="F97" s="68">
        <v>1647</v>
      </c>
      <c r="G97" s="68"/>
      <c r="H97" s="68"/>
      <c r="I97" s="68">
        <v>10612</v>
      </c>
      <c r="J97" s="68"/>
      <c r="K97" s="68">
        <v>702</v>
      </c>
      <c r="L97" s="68">
        <v>170</v>
      </c>
      <c r="M97" s="68"/>
      <c r="N97" s="68">
        <v>600</v>
      </c>
      <c r="O97" s="68"/>
      <c r="P97" s="68">
        <v>7370</v>
      </c>
    </row>
    <row r="98" spans="1:16" s="62" customFormat="1" ht="9">
      <c r="A98" s="67">
        <v>1990</v>
      </c>
      <c r="B98" s="68"/>
      <c r="C98" s="68">
        <v>295</v>
      </c>
      <c r="D98" s="68">
        <v>5800</v>
      </c>
      <c r="E98" s="68"/>
      <c r="F98" s="68">
        <v>1963</v>
      </c>
      <c r="G98" s="68"/>
      <c r="H98" s="68">
        <v>241</v>
      </c>
      <c r="I98" s="68">
        <v>16152</v>
      </c>
      <c r="J98" s="68"/>
      <c r="K98" s="68">
        <v>880</v>
      </c>
      <c r="L98" s="68">
        <v>93</v>
      </c>
      <c r="M98" s="68"/>
      <c r="N98" s="68">
        <v>800</v>
      </c>
      <c r="O98" s="68">
        <v>700</v>
      </c>
      <c r="P98" s="68">
        <v>6400</v>
      </c>
    </row>
    <row r="99" spans="1:16" s="62" customFormat="1" ht="9">
      <c r="A99" s="67">
        <v>1991</v>
      </c>
      <c r="B99" s="68"/>
      <c r="C99" s="68">
        <v>291</v>
      </c>
      <c r="D99" s="68">
        <v>8300</v>
      </c>
      <c r="E99" s="68"/>
      <c r="F99" s="68"/>
      <c r="G99" s="68"/>
      <c r="H99" s="68">
        <v>266</v>
      </c>
      <c r="I99" s="68">
        <v>16397</v>
      </c>
      <c r="J99" s="68"/>
      <c r="K99" s="68">
        <v>970</v>
      </c>
      <c r="L99" s="68">
        <v>74</v>
      </c>
      <c r="M99" s="68">
        <v>585</v>
      </c>
      <c r="N99" s="68">
        <v>900</v>
      </c>
      <c r="O99" s="68">
        <v>400</v>
      </c>
      <c r="P99" s="68">
        <v>6300</v>
      </c>
    </row>
    <row r="100" spans="1:16" s="62" customFormat="1" ht="9">
      <c r="A100" s="67">
        <v>1992</v>
      </c>
      <c r="B100" s="68"/>
      <c r="C100" s="68">
        <v>296</v>
      </c>
      <c r="D100" s="68">
        <v>8600</v>
      </c>
      <c r="E100" s="68"/>
      <c r="F100" s="68"/>
      <c r="G100" s="68"/>
      <c r="H100" s="68">
        <v>249</v>
      </c>
      <c r="I100" s="68">
        <v>18169</v>
      </c>
      <c r="J100" s="68"/>
      <c r="K100" s="68">
        <v>1084</v>
      </c>
      <c r="L100" s="68">
        <v>54</v>
      </c>
      <c r="M100" s="68">
        <v>640</v>
      </c>
      <c r="N100" s="68">
        <v>900</v>
      </c>
      <c r="O100" s="68">
        <v>400</v>
      </c>
      <c r="P100" s="68">
        <v>5000</v>
      </c>
    </row>
    <row r="101" spans="1:16" s="62" customFormat="1" ht="9">
      <c r="A101" s="67">
        <v>1993</v>
      </c>
      <c r="B101" s="68"/>
      <c r="C101" s="68">
        <v>305</v>
      </c>
      <c r="D101" s="68">
        <v>8896</v>
      </c>
      <c r="E101" s="68"/>
      <c r="F101" s="68">
        <v>1431</v>
      </c>
      <c r="G101" s="68"/>
      <c r="H101" s="68">
        <v>237</v>
      </c>
      <c r="I101" s="68"/>
      <c r="J101" s="68"/>
      <c r="K101" s="68">
        <v>1206</v>
      </c>
      <c r="L101" s="68"/>
      <c r="M101" s="68"/>
      <c r="N101" s="68">
        <v>900</v>
      </c>
      <c r="O101" s="68"/>
      <c r="P101" s="68">
        <v>4200</v>
      </c>
    </row>
    <row r="102" spans="1:16" s="62" customFormat="1" ht="9">
      <c r="A102" s="67">
        <v>1994</v>
      </c>
      <c r="B102" s="68"/>
      <c r="C102" s="68">
        <v>317</v>
      </c>
      <c r="D102" s="68">
        <v>9159</v>
      </c>
      <c r="E102" s="68"/>
      <c r="F102" s="68">
        <v>1408</v>
      </c>
      <c r="G102" s="68"/>
      <c r="H102" s="68">
        <v>259</v>
      </c>
      <c r="I102" s="68">
        <v>14000</v>
      </c>
      <c r="J102" s="68"/>
      <c r="K102" s="68">
        <v>1700</v>
      </c>
      <c r="L102" s="68"/>
      <c r="M102" s="68">
        <v>1176</v>
      </c>
      <c r="N102" s="68">
        <v>900</v>
      </c>
      <c r="O102" s="68">
        <v>597</v>
      </c>
      <c r="P102" s="68">
        <v>4146</v>
      </c>
    </row>
    <row r="103" spans="1:16" s="62" customFormat="1" ht="9">
      <c r="A103" s="67">
        <v>1995</v>
      </c>
      <c r="B103" s="68"/>
      <c r="C103" s="68">
        <v>333</v>
      </c>
      <c r="D103" s="68">
        <v>8843</v>
      </c>
      <c r="E103" s="68"/>
      <c r="F103" s="68">
        <v>745</v>
      </c>
      <c r="G103" s="68"/>
      <c r="H103" s="68">
        <v>278</v>
      </c>
      <c r="I103" s="68">
        <v>14000</v>
      </c>
      <c r="J103" s="68"/>
      <c r="K103" s="68">
        <v>1300</v>
      </c>
      <c r="L103" s="68"/>
      <c r="M103" s="68">
        <v>1428</v>
      </c>
      <c r="N103" s="68">
        <v>900</v>
      </c>
      <c r="O103" s="68">
        <v>532</v>
      </c>
      <c r="P103" s="68">
        <v>4120</v>
      </c>
    </row>
    <row r="104" spans="1:16" s="62" customFormat="1" ht="9">
      <c r="A104" s="67">
        <v>1996</v>
      </c>
      <c r="B104" s="68"/>
      <c r="C104" s="68">
        <v>356</v>
      </c>
      <c r="D104" s="68">
        <v>9600</v>
      </c>
      <c r="E104" s="68"/>
      <c r="F104" s="68"/>
      <c r="G104" s="68"/>
      <c r="H104" s="68"/>
      <c r="I104" s="68"/>
      <c r="J104" s="68"/>
      <c r="K104" s="68">
        <v>1435</v>
      </c>
      <c r="L104" s="68"/>
      <c r="M104" s="68"/>
      <c r="N104" s="68">
        <v>900</v>
      </c>
      <c r="O104" s="68">
        <v>546</v>
      </c>
      <c r="P104" s="68">
        <v>4165</v>
      </c>
    </row>
    <row r="105" spans="1:16" s="62" customFormat="1" ht="9">
      <c r="A105" s="67">
        <v>1997</v>
      </c>
      <c r="B105" s="68"/>
      <c r="C105" s="68">
        <v>385</v>
      </c>
      <c r="D105" s="68">
        <v>10600</v>
      </c>
      <c r="E105" s="68"/>
      <c r="F105" s="68"/>
      <c r="G105" s="68"/>
      <c r="H105" s="68"/>
      <c r="I105" s="68"/>
      <c r="J105" s="68"/>
      <c r="K105" s="68">
        <v>1689</v>
      </c>
      <c r="L105" s="68"/>
      <c r="M105" s="68">
        <v>1366</v>
      </c>
      <c r="N105" s="68">
        <v>900</v>
      </c>
      <c r="O105" s="68">
        <v>569</v>
      </c>
      <c r="P105" s="68">
        <v>4051</v>
      </c>
    </row>
    <row r="106" spans="1:16" s="62" customFormat="1" ht="9">
      <c r="A106" s="67">
        <v>1998</v>
      </c>
      <c r="B106" s="68"/>
      <c r="C106" s="68">
        <v>414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>
        <v>900</v>
      </c>
      <c r="O106" s="68">
        <v>613</v>
      </c>
      <c r="P106" s="68">
        <v>3950</v>
      </c>
    </row>
    <row r="107" spans="1:16" ht="9" customHeight="1">
      <c r="A107" s="67">
        <v>1999</v>
      </c>
      <c r="N107" s="68">
        <v>900</v>
      </c>
      <c r="O107" s="68">
        <v>669</v>
      </c>
      <c r="P107" s="68">
        <v>4600</v>
      </c>
    </row>
    <row r="108" spans="1:16" ht="12.75">
      <c r="A108" s="390" t="s">
        <v>80</v>
      </c>
      <c r="B108" s="390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</row>
    <row r="109" spans="1:16" ht="12.75">
      <c r="A109" s="67">
        <v>1970</v>
      </c>
      <c r="B109" s="68" t="str">
        <f aca="true" t="shared" si="0" ref="B109:C122">IF(COUNT(B79,B94)=2,SUM(B79,B94),":")</f>
        <v>:</v>
      </c>
      <c r="C109" s="68" t="str">
        <f t="shared" si="0"/>
        <v>:</v>
      </c>
      <c r="D109" s="68">
        <v>2600</v>
      </c>
      <c r="E109" s="68" t="str">
        <f aca="true" t="shared" si="1" ref="E109:P109">IF(COUNT(E79,E94)=2,SUM(E79,E94),":")</f>
        <v>:</v>
      </c>
      <c r="F109" s="68" t="str">
        <f t="shared" si="1"/>
        <v>:</v>
      </c>
      <c r="G109" s="68" t="str">
        <f t="shared" si="1"/>
        <v>:</v>
      </c>
      <c r="H109" s="68" t="str">
        <f t="shared" si="1"/>
        <v>:</v>
      </c>
      <c r="I109" s="68" t="str">
        <f t="shared" si="1"/>
        <v>:</v>
      </c>
      <c r="J109" s="68" t="str">
        <f t="shared" si="1"/>
        <v>:</v>
      </c>
      <c r="K109" s="68" t="str">
        <f t="shared" si="1"/>
        <v>:</v>
      </c>
      <c r="L109" s="68" t="str">
        <f t="shared" si="1"/>
        <v>:</v>
      </c>
      <c r="M109" s="68" t="str">
        <f t="shared" si="1"/>
        <v>:</v>
      </c>
      <c r="N109" s="68" t="str">
        <f t="shared" si="1"/>
        <v>:</v>
      </c>
      <c r="O109" s="68" t="str">
        <f t="shared" si="1"/>
        <v>:</v>
      </c>
      <c r="P109" s="68" t="str">
        <f t="shared" si="1"/>
        <v>:</v>
      </c>
    </row>
    <row r="110" spans="1:16" ht="12.75">
      <c r="A110" s="67">
        <v>1975</v>
      </c>
      <c r="B110" s="68" t="str">
        <f t="shared" si="0"/>
        <v>:</v>
      </c>
      <c r="C110" s="68" t="str">
        <f t="shared" si="0"/>
        <v>:</v>
      </c>
      <c r="D110" s="68">
        <v>3700</v>
      </c>
      <c r="E110" s="68" t="str">
        <f aca="true" t="shared" si="2" ref="E110:P110">IF(COUNT(E80,E95)=2,SUM(E80,E95),":")</f>
        <v>:</v>
      </c>
      <c r="F110" s="68" t="str">
        <f t="shared" si="2"/>
        <v>:</v>
      </c>
      <c r="G110" s="68" t="str">
        <f t="shared" si="2"/>
        <v>:</v>
      </c>
      <c r="H110" s="68" t="str">
        <f t="shared" si="2"/>
        <v>:</v>
      </c>
      <c r="I110" s="68" t="str">
        <f t="shared" si="2"/>
        <v>:</v>
      </c>
      <c r="J110" s="68" t="str">
        <f t="shared" si="2"/>
        <v>:</v>
      </c>
      <c r="K110" s="68" t="str">
        <f t="shared" si="2"/>
        <v>:</v>
      </c>
      <c r="L110" s="68" t="str">
        <f t="shared" si="2"/>
        <v>:</v>
      </c>
      <c r="M110" s="68" t="str">
        <f t="shared" si="2"/>
        <v>:</v>
      </c>
      <c r="N110" s="68" t="str">
        <f t="shared" si="2"/>
        <v>:</v>
      </c>
      <c r="O110" s="68" t="str">
        <f t="shared" si="2"/>
        <v>:</v>
      </c>
      <c r="P110" s="68" t="str">
        <f t="shared" si="2"/>
        <v>:</v>
      </c>
    </row>
    <row r="111" spans="1:16" ht="12.75">
      <c r="A111" s="67">
        <v>1980</v>
      </c>
      <c r="B111" s="68" t="str">
        <f t="shared" si="0"/>
        <v>:</v>
      </c>
      <c r="C111" s="68" t="str">
        <f t="shared" si="0"/>
        <v>:</v>
      </c>
      <c r="D111" s="68">
        <f aca="true" t="shared" si="3" ref="D111:D122">IF(COUNT(D81,D96)=2,SUM(D81,D96),":")</f>
        <v>5700</v>
      </c>
      <c r="E111" s="68" t="str">
        <f aca="true" t="shared" si="4" ref="E111:P111">IF(COUNT(E81,E96)=2,SUM(E81,E96),":")</f>
        <v>:</v>
      </c>
      <c r="F111" s="68">
        <f t="shared" si="4"/>
        <v>1657</v>
      </c>
      <c r="G111" s="68" t="str">
        <f t="shared" si="4"/>
        <v>:</v>
      </c>
      <c r="H111" s="68">
        <f t="shared" si="4"/>
        <v>342</v>
      </c>
      <c r="I111" s="68">
        <f t="shared" si="4"/>
        <v>24752</v>
      </c>
      <c r="J111" s="68" t="str">
        <f t="shared" si="4"/>
        <v>:</v>
      </c>
      <c r="K111" s="68">
        <f t="shared" si="4"/>
        <v>2500</v>
      </c>
      <c r="L111" s="68">
        <f t="shared" si="4"/>
        <v>1670</v>
      </c>
      <c r="M111" s="68" t="str">
        <f t="shared" si="4"/>
        <v>:</v>
      </c>
      <c r="N111" s="68">
        <f t="shared" si="4"/>
        <v>600</v>
      </c>
      <c r="O111" s="68" t="str">
        <f t="shared" si="4"/>
        <v>:</v>
      </c>
      <c r="P111" s="68">
        <f t="shared" si="4"/>
        <v>6025</v>
      </c>
    </row>
    <row r="112" spans="1:16" ht="12.75">
      <c r="A112" s="67">
        <v>1985</v>
      </c>
      <c r="B112" s="68" t="str">
        <f t="shared" si="0"/>
        <v>:</v>
      </c>
      <c r="C112" s="68">
        <f t="shared" si="0"/>
        <v>268</v>
      </c>
      <c r="D112" s="68">
        <f t="shared" si="3"/>
        <v>7400</v>
      </c>
      <c r="E112" s="68" t="str">
        <f aca="true" t="shared" si="5" ref="E112:P112">IF(COUNT(E82,E97)=2,SUM(E82,E97),":")</f>
        <v>:</v>
      </c>
      <c r="F112" s="68">
        <f t="shared" si="5"/>
        <v>1647</v>
      </c>
      <c r="G112" s="68" t="str">
        <f t="shared" si="5"/>
        <v>:</v>
      </c>
      <c r="H112" s="68" t="str">
        <f t="shared" si="5"/>
        <v>:</v>
      </c>
      <c r="I112" s="68">
        <f t="shared" si="5"/>
        <v>30874</v>
      </c>
      <c r="J112" s="68" t="str">
        <f t="shared" si="5"/>
        <v>:</v>
      </c>
      <c r="K112" s="68">
        <f t="shared" si="5"/>
        <v>2362</v>
      </c>
      <c r="L112" s="68">
        <f t="shared" si="5"/>
        <v>1371</v>
      </c>
      <c r="M112" s="68" t="str">
        <f t="shared" si="5"/>
        <v>:</v>
      </c>
      <c r="N112" s="68">
        <f t="shared" si="5"/>
        <v>600</v>
      </c>
      <c r="O112" s="68" t="str">
        <f t="shared" si="5"/>
        <v>:</v>
      </c>
      <c r="P112" s="68">
        <f t="shared" si="5"/>
        <v>7370</v>
      </c>
    </row>
    <row r="113" spans="1:16" ht="12.75">
      <c r="A113" s="67">
        <v>1990</v>
      </c>
      <c r="B113" s="68" t="str">
        <f t="shared" si="0"/>
        <v>:</v>
      </c>
      <c r="C113" s="68">
        <f t="shared" si="0"/>
        <v>295</v>
      </c>
      <c r="D113" s="68">
        <f t="shared" si="3"/>
        <v>7500</v>
      </c>
      <c r="E113" s="68" t="str">
        <f aca="true" t="shared" si="6" ref="E113:P113">IF(COUNT(E83,E98)=2,SUM(E83,E98),":")</f>
        <v>:</v>
      </c>
      <c r="F113" s="68">
        <f t="shared" si="6"/>
        <v>1963</v>
      </c>
      <c r="G113" s="68" t="str">
        <f t="shared" si="6"/>
        <v>:</v>
      </c>
      <c r="H113" s="68">
        <f t="shared" si="6"/>
        <v>241</v>
      </c>
      <c r="I113" s="68">
        <f t="shared" si="6"/>
        <v>43940</v>
      </c>
      <c r="J113" s="68" t="str">
        <f t="shared" si="6"/>
        <v>:</v>
      </c>
      <c r="K113" s="68">
        <f t="shared" si="6"/>
        <v>2450</v>
      </c>
      <c r="L113" s="68">
        <f t="shared" si="6"/>
        <v>711</v>
      </c>
      <c r="M113" s="68" t="str">
        <f t="shared" si="6"/>
        <v>:</v>
      </c>
      <c r="N113" s="68">
        <f t="shared" si="6"/>
        <v>800</v>
      </c>
      <c r="O113" s="68">
        <f t="shared" si="6"/>
        <v>1100</v>
      </c>
      <c r="P113" s="68">
        <f t="shared" si="6"/>
        <v>6400</v>
      </c>
    </row>
    <row r="114" spans="1:16" ht="12.75">
      <c r="A114" s="67">
        <v>1991</v>
      </c>
      <c r="B114" s="68" t="str">
        <f t="shared" si="0"/>
        <v>:</v>
      </c>
      <c r="C114" s="68">
        <f t="shared" si="0"/>
        <v>291</v>
      </c>
      <c r="D114" s="68">
        <f t="shared" si="3"/>
        <v>11200</v>
      </c>
      <c r="E114" s="68" t="str">
        <f aca="true" t="shared" si="7" ref="E114:P114">IF(COUNT(E84,E99)=2,SUM(E84,E99),":")</f>
        <v>:</v>
      </c>
      <c r="F114" s="68" t="str">
        <f t="shared" si="7"/>
        <v>:</v>
      </c>
      <c r="G114" s="68" t="str">
        <f t="shared" si="7"/>
        <v>:</v>
      </c>
      <c r="H114" s="68">
        <f t="shared" si="7"/>
        <v>266</v>
      </c>
      <c r="I114" s="68">
        <f t="shared" si="7"/>
        <v>42010</v>
      </c>
      <c r="J114" s="68" t="str">
        <f t="shared" si="7"/>
        <v>:</v>
      </c>
      <c r="K114" s="68" t="str">
        <f t="shared" si="7"/>
        <v>:</v>
      </c>
      <c r="L114" s="68">
        <f t="shared" si="7"/>
        <v>594</v>
      </c>
      <c r="M114" s="68">
        <f t="shared" si="7"/>
        <v>1025</v>
      </c>
      <c r="N114" s="68">
        <f t="shared" si="7"/>
        <v>900</v>
      </c>
      <c r="O114" s="68">
        <f t="shared" si="7"/>
        <v>600</v>
      </c>
      <c r="P114" s="68">
        <f t="shared" si="7"/>
        <v>6300</v>
      </c>
    </row>
    <row r="115" spans="1:16" ht="12.75">
      <c r="A115" s="67">
        <v>1992</v>
      </c>
      <c r="B115" s="68" t="str">
        <f t="shared" si="0"/>
        <v>:</v>
      </c>
      <c r="C115" s="68">
        <f t="shared" si="0"/>
        <v>296</v>
      </c>
      <c r="D115" s="68">
        <f t="shared" si="3"/>
        <v>11800</v>
      </c>
      <c r="E115" s="68" t="str">
        <f aca="true" t="shared" si="8" ref="E115:P115">IF(COUNT(E85,E100)=2,SUM(E85,E100),":")</f>
        <v>:</v>
      </c>
      <c r="F115" s="68" t="str">
        <f t="shared" si="8"/>
        <v>:</v>
      </c>
      <c r="G115" s="68" t="str">
        <f t="shared" si="8"/>
        <v>:</v>
      </c>
      <c r="H115" s="68">
        <f t="shared" si="8"/>
        <v>249</v>
      </c>
      <c r="I115" s="68">
        <f t="shared" si="8"/>
        <v>47191</v>
      </c>
      <c r="J115" s="68" t="str">
        <f t="shared" si="8"/>
        <v>:</v>
      </c>
      <c r="K115" s="68">
        <f t="shared" si="8"/>
        <v>2276</v>
      </c>
      <c r="L115" s="68">
        <f t="shared" si="8"/>
        <v>497</v>
      </c>
      <c r="M115" s="68">
        <f t="shared" si="8"/>
        <v>1130</v>
      </c>
      <c r="N115" s="68">
        <f t="shared" si="8"/>
        <v>900</v>
      </c>
      <c r="O115" s="68">
        <f t="shared" si="8"/>
        <v>600</v>
      </c>
      <c r="P115" s="68">
        <f t="shared" si="8"/>
        <v>5000</v>
      </c>
    </row>
    <row r="116" spans="1:16" ht="12.75">
      <c r="A116" s="67">
        <v>1993</v>
      </c>
      <c r="B116" s="68" t="str">
        <f t="shared" si="0"/>
        <v>:</v>
      </c>
      <c r="C116" s="68">
        <f t="shared" si="0"/>
        <v>305</v>
      </c>
      <c r="D116" s="68">
        <f t="shared" si="3"/>
        <v>11590</v>
      </c>
      <c r="E116" s="68" t="str">
        <f aca="true" t="shared" si="9" ref="E116:P116">IF(COUNT(E86,E101)=2,SUM(E86,E101),":")</f>
        <v>:</v>
      </c>
      <c r="F116" s="68">
        <f t="shared" si="9"/>
        <v>1431</v>
      </c>
      <c r="G116" s="68" t="str">
        <f t="shared" si="9"/>
        <v>:</v>
      </c>
      <c r="H116" s="68">
        <f t="shared" si="9"/>
        <v>237</v>
      </c>
      <c r="I116" s="68" t="str">
        <f t="shared" si="9"/>
        <v>:</v>
      </c>
      <c r="J116" s="68" t="str">
        <f t="shared" si="9"/>
        <v>:</v>
      </c>
      <c r="K116" s="68">
        <f t="shared" si="9"/>
        <v>2496</v>
      </c>
      <c r="L116" s="68" t="str">
        <f t="shared" si="9"/>
        <v>:</v>
      </c>
      <c r="M116" s="68" t="str">
        <f t="shared" si="9"/>
        <v>:</v>
      </c>
      <c r="N116" s="68">
        <f t="shared" si="9"/>
        <v>900</v>
      </c>
      <c r="O116" s="68" t="str">
        <f t="shared" si="9"/>
        <v>:</v>
      </c>
      <c r="P116" s="68">
        <f t="shared" si="9"/>
        <v>4200</v>
      </c>
    </row>
    <row r="117" spans="1:16" ht="12.75">
      <c r="A117" s="67">
        <v>1994</v>
      </c>
      <c r="B117" s="68" t="str">
        <f t="shared" si="0"/>
        <v>:</v>
      </c>
      <c r="C117" s="68">
        <f t="shared" si="0"/>
        <v>318</v>
      </c>
      <c r="D117" s="68">
        <f t="shared" si="3"/>
        <v>12959</v>
      </c>
      <c r="E117" s="68" t="str">
        <f aca="true" t="shared" si="10" ref="E117:P117">IF(COUNT(E87,E102)=2,SUM(E87,E102),":")</f>
        <v>:</v>
      </c>
      <c r="F117" s="68">
        <f t="shared" si="10"/>
        <v>1408</v>
      </c>
      <c r="G117" s="68" t="str">
        <f t="shared" si="10"/>
        <v>:</v>
      </c>
      <c r="H117" s="68">
        <f t="shared" si="10"/>
        <v>259</v>
      </c>
      <c r="I117" s="68" t="str">
        <f t="shared" si="10"/>
        <v>:</v>
      </c>
      <c r="J117" s="68" t="str">
        <f t="shared" si="10"/>
        <v>:</v>
      </c>
      <c r="K117" s="68" t="str">
        <f t="shared" si="10"/>
        <v>:</v>
      </c>
      <c r="L117" s="68" t="str">
        <f t="shared" si="10"/>
        <v>:</v>
      </c>
      <c r="M117" s="68" t="str">
        <f t="shared" si="10"/>
        <v>:</v>
      </c>
      <c r="N117" s="68">
        <f t="shared" si="10"/>
        <v>900</v>
      </c>
      <c r="O117" s="68" t="str">
        <f t="shared" si="10"/>
        <v>:</v>
      </c>
      <c r="P117" s="68">
        <f t="shared" si="10"/>
        <v>4146</v>
      </c>
    </row>
    <row r="118" spans="1:16" ht="12.75">
      <c r="A118" s="67">
        <v>1995</v>
      </c>
      <c r="B118" s="68" t="str">
        <f t="shared" si="0"/>
        <v>:</v>
      </c>
      <c r="C118" s="68">
        <f t="shared" si="0"/>
        <v>341</v>
      </c>
      <c r="D118" s="68">
        <f t="shared" si="3"/>
        <v>11500</v>
      </c>
      <c r="E118" s="68" t="str">
        <f aca="true" t="shared" si="11" ref="E118:P118">IF(COUNT(E88,E103)=2,SUM(E88,E103),":")</f>
        <v>:</v>
      </c>
      <c r="F118" s="68">
        <f t="shared" si="11"/>
        <v>745</v>
      </c>
      <c r="G118" s="68" t="str">
        <f t="shared" si="11"/>
        <v>:</v>
      </c>
      <c r="H118" s="68">
        <f t="shared" si="11"/>
        <v>278</v>
      </c>
      <c r="I118" s="68" t="str">
        <f t="shared" si="11"/>
        <v>:</v>
      </c>
      <c r="J118" s="68" t="str">
        <f t="shared" si="11"/>
        <v>:</v>
      </c>
      <c r="K118" s="68" t="str">
        <f t="shared" si="11"/>
        <v>:</v>
      </c>
      <c r="L118" s="68" t="str">
        <f t="shared" si="11"/>
        <v>:</v>
      </c>
      <c r="M118" s="68" t="str">
        <f t="shared" si="11"/>
        <v>:</v>
      </c>
      <c r="N118" s="68">
        <f t="shared" si="11"/>
        <v>900</v>
      </c>
      <c r="O118" s="68" t="str">
        <f t="shared" si="11"/>
        <v>:</v>
      </c>
      <c r="P118" s="68">
        <f t="shared" si="11"/>
        <v>4120</v>
      </c>
    </row>
    <row r="119" spans="1:16" ht="12.75">
      <c r="A119" s="67">
        <v>1996</v>
      </c>
      <c r="B119" s="68" t="str">
        <f t="shared" si="0"/>
        <v>:</v>
      </c>
      <c r="C119" s="68">
        <f t="shared" si="0"/>
        <v>383</v>
      </c>
      <c r="D119" s="68">
        <f t="shared" si="3"/>
        <v>13400</v>
      </c>
      <c r="E119" s="68" t="str">
        <f aca="true" t="shared" si="12" ref="E119:P119">IF(COUNT(E89,E104)=2,SUM(E89,E104),":")</f>
        <v>:</v>
      </c>
      <c r="F119" s="68" t="str">
        <f t="shared" si="12"/>
        <v>:</v>
      </c>
      <c r="G119" s="68" t="str">
        <f t="shared" si="12"/>
        <v>:</v>
      </c>
      <c r="H119" s="68" t="str">
        <f t="shared" si="12"/>
        <v>:</v>
      </c>
      <c r="I119" s="68" t="str">
        <f t="shared" si="12"/>
        <v>:</v>
      </c>
      <c r="J119" s="68" t="str">
        <f t="shared" si="12"/>
        <v>:</v>
      </c>
      <c r="K119" s="68" t="str">
        <f t="shared" si="12"/>
        <v>:</v>
      </c>
      <c r="L119" s="68" t="str">
        <f t="shared" si="12"/>
        <v>:</v>
      </c>
      <c r="M119" s="68" t="str">
        <f t="shared" si="12"/>
        <v>:</v>
      </c>
      <c r="N119" s="68">
        <f t="shared" si="12"/>
        <v>900</v>
      </c>
      <c r="O119" s="68" t="str">
        <f t="shared" si="12"/>
        <v>:</v>
      </c>
      <c r="P119" s="68">
        <f t="shared" si="12"/>
        <v>4165</v>
      </c>
    </row>
    <row r="120" spans="1:16" ht="12.75">
      <c r="A120" s="67">
        <v>1997</v>
      </c>
      <c r="B120" s="68" t="str">
        <f t="shared" si="0"/>
        <v>:</v>
      </c>
      <c r="C120" s="68">
        <f t="shared" si="0"/>
        <v>444</v>
      </c>
      <c r="D120" s="68">
        <f t="shared" si="3"/>
        <v>14400</v>
      </c>
      <c r="E120" s="68" t="str">
        <f aca="true" t="shared" si="13" ref="E120:P120">IF(COUNT(E90,E105)=2,SUM(E90,E105),":")</f>
        <v>:</v>
      </c>
      <c r="F120" s="68" t="str">
        <f t="shared" si="13"/>
        <v>:</v>
      </c>
      <c r="G120" s="68" t="str">
        <f t="shared" si="13"/>
        <v>:</v>
      </c>
      <c r="H120" s="68" t="str">
        <f t="shared" si="13"/>
        <v>:</v>
      </c>
      <c r="I120" s="68" t="str">
        <f t="shared" si="13"/>
        <v>:</v>
      </c>
      <c r="J120" s="68" t="str">
        <f t="shared" si="13"/>
        <v>:</v>
      </c>
      <c r="K120" s="68" t="str">
        <f t="shared" si="13"/>
        <v>:</v>
      </c>
      <c r="L120" s="68" t="str">
        <f t="shared" si="13"/>
        <v>:</v>
      </c>
      <c r="M120" s="68" t="str">
        <f t="shared" si="13"/>
        <v>:</v>
      </c>
      <c r="N120" s="68">
        <f t="shared" si="13"/>
        <v>900</v>
      </c>
      <c r="O120" s="68" t="str">
        <f t="shared" si="13"/>
        <v>:</v>
      </c>
      <c r="P120" s="68">
        <f t="shared" si="13"/>
        <v>4051</v>
      </c>
    </row>
    <row r="121" spans="1:16" ht="12.75">
      <c r="A121" s="67">
        <v>1998</v>
      </c>
      <c r="B121" s="68" t="str">
        <f t="shared" si="0"/>
        <v>:</v>
      </c>
      <c r="C121" s="68">
        <f t="shared" si="0"/>
        <v>507</v>
      </c>
      <c r="D121" s="68" t="str">
        <f t="shared" si="3"/>
        <v>:</v>
      </c>
      <c r="E121" s="68" t="str">
        <f aca="true" t="shared" si="14" ref="E121:P121">IF(COUNT(E91,E106)=2,SUM(E91,E106),":")</f>
        <v>:</v>
      </c>
      <c r="F121" s="68" t="str">
        <f t="shared" si="14"/>
        <v>:</v>
      </c>
      <c r="G121" s="68" t="str">
        <f t="shared" si="14"/>
        <v>:</v>
      </c>
      <c r="H121" s="68" t="str">
        <f t="shared" si="14"/>
        <v>:</v>
      </c>
      <c r="I121" s="68" t="str">
        <f t="shared" si="14"/>
        <v>:</v>
      </c>
      <c r="J121" s="68" t="str">
        <f t="shared" si="14"/>
        <v>:</v>
      </c>
      <c r="K121" s="68" t="str">
        <f t="shared" si="14"/>
        <v>:</v>
      </c>
      <c r="L121" s="68" t="str">
        <f t="shared" si="14"/>
        <v>:</v>
      </c>
      <c r="M121" s="68" t="str">
        <f t="shared" si="14"/>
        <v>:</v>
      </c>
      <c r="N121" s="68">
        <f t="shared" si="14"/>
        <v>900</v>
      </c>
      <c r="O121" s="68" t="str">
        <f t="shared" si="14"/>
        <v>:</v>
      </c>
      <c r="P121" s="68">
        <f t="shared" si="14"/>
        <v>3950</v>
      </c>
    </row>
    <row r="122" spans="1:16" ht="12.75">
      <c r="A122" s="67">
        <v>1999</v>
      </c>
      <c r="B122" s="68" t="str">
        <f t="shared" si="0"/>
        <v>:</v>
      </c>
      <c r="C122" s="68" t="str">
        <f t="shared" si="0"/>
        <v>:</v>
      </c>
      <c r="D122" s="68" t="str">
        <f t="shared" si="3"/>
        <v>:</v>
      </c>
      <c r="E122" s="68" t="str">
        <f aca="true" t="shared" si="15" ref="E122:P122">IF(COUNT(E92,E107)=2,SUM(E92,E107),":")</f>
        <v>:</v>
      </c>
      <c r="F122" s="68" t="str">
        <f t="shared" si="15"/>
        <v>:</v>
      </c>
      <c r="G122" s="68" t="str">
        <f t="shared" si="15"/>
        <v>:</v>
      </c>
      <c r="H122" s="68" t="str">
        <f t="shared" si="15"/>
        <v>:</v>
      </c>
      <c r="I122" s="68" t="str">
        <f t="shared" si="15"/>
        <v>:</v>
      </c>
      <c r="J122" s="68" t="str">
        <f t="shared" si="15"/>
        <v>:</v>
      </c>
      <c r="K122" s="68" t="str">
        <f t="shared" si="15"/>
        <v>:</v>
      </c>
      <c r="L122" s="68" t="str">
        <f t="shared" si="15"/>
        <v>:</v>
      </c>
      <c r="M122" s="68" t="str">
        <f t="shared" si="15"/>
        <v>:</v>
      </c>
      <c r="N122" s="68" t="str">
        <f t="shared" si="15"/>
        <v>:</v>
      </c>
      <c r="O122" s="68" t="str">
        <f t="shared" si="15"/>
        <v>:</v>
      </c>
      <c r="P122" s="68">
        <f t="shared" si="15"/>
        <v>4600</v>
      </c>
    </row>
  </sheetData>
  <mergeCells count="7">
    <mergeCell ref="A6:P6"/>
    <mergeCell ref="A78:P78"/>
    <mergeCell ref="A93:P93"/>
    <mergeCell ref="A108:P108"/>
    <mergeCell ref="A54:P54"/>
    <mergeCell ref="A38:P38"/>
    <mergeCell ref="A22:P22"/>
  </mergeCells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scale="3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4:M44"/>
  <sheetViews>
    <sheetView workbookViewId="0" topLeftCell="A25">
      <selection activeCell="C102" sqref="C102:C112"/>
    </sheetView>
  </sheetViews>
  <sheetFormatPr defaultColWidth="9.140625" defaultRowHeight="12.75"/>
  <cols>
    <col min="1" max="1" width="9.57421875" style="170" bestFit="1" customWidth="1"/>
    <col min="2" max="2" width="10.57421875" style="170" bestFit="1" customWidth="1"/>
    <col min="3" max="3" width="11.57421875" style="170" bestFit="1" customWidth="1"/>
    <col min="4" max="12" width="9.140625" style="170" customWidth="1"/>
    <col min="13" max="13" width="15.7109375" style="170" customWidth="1"/>
    <col min="14" max="16384" width="9.140625" style="170" customWidth="1"/>
  </cols>
  <sheetData>
    <row r="1" ht="12.75"/>
    <row r="2" ht="12.75"/>
    <row r="3" ht="12.75"/>
    <row r="4" ht="12.75">
      <c r="B4" s="301" t="s">
        <v>247</v>
      </c>
    </row>
    <row r="5" ht="12.75"/>
    <row r="6" spans="3:13" ht="63.75">
      <c r="C6" s="302" t="s">
        <v>248</v>
      </c>
      <c r="D6" s="302" t="s">
        <v>249</v>
      </c>
      <c r="E6" s="302" t="s">
        <v>250</v>
      </c>
      <c r="F6" s="302" t="s">
        <v>251</v>
      </c>
      <c r="G6" s="302" t="s">
        <v>252</v>
      </c>
      <c r="H6" s="302" t="s">
        <v>253</v>
      </c>
      <c r="I6" s="302" t="s">
        <v>254</v>
      </c>
      <c r="J6" s="302" t="s">
        <v>255</v>
      </c>
      <c r="K6" s="302" t="s">
        <v>256</v>
      </c>
      <c r="L6" s="303" t="s">
        <v>257</v>
      </c>
      <c r="M6" s="304" t="s">
        <v>182</v>
      </c>
    </row>
    <row r="7" spans="2:13" ht="12.75">
      <c r="B7" s="302">
        <v>1991</v>
      </c>
      <c r="C7" s="305" t="s">
        <v>258</v>
      </c>
      <c r="D7" s="305" t="s">
        <v>258</v>
      </c>
      <c r="E7" s="305"/>
      <c r="F7" s="305" t="s">
        <v>258</v>
      </c>
      <c r="G7" s="305" t="s">
        <v>258</v>
      </c>
      <c r="H7" s="305" t="s">
        <v>258</v>
      </c>
      <c r="I7" s="305"/>
      <c r="J7" s="305"/>
      <c r="K7" s="305" t="s">
        <v>258</v>
      </c>
      <c r="L7" s="306" t="s">
        <v>258</v>
      </c>
      <c r="M7" s="307"/>
    </row>
    <row r="8" spans="2:13" ht="12.75">
      <c r="B8" s="302">
        <v>1992</v>
      </c>
      <c r="C8" s="305" t="s">
        <v>258</v>
      </c>
      <c r="D8" s="305" t="s">
        <v>258</v>
      </c>
      <c r="E8" s="305"/>
      <c r="F8" s="305" t="s">
        <v>258</v>
      </c>
      <c r="G8" s="305" t="s">
        <v>258</v>
      </c>
      <c r="H8" s="305" t="s">
        <v>258</v>
      </c>
      <c r="I8" s="305"/>
      <c r="J8" s="305"/>
      <c r="K8" s="305" t="s">
        <v>258</v>
      </c>
      <c r="L8" s="306" t="s">
        <v>258</v>
      </c>
      <c r="M8" s="307"/>
    </row>
    <row r="9" spans="2:13" ht="12.75">
      <c r="B9" s="302">
        <v>1993</v>
      </c>
      <c r="C9" s="305" t="s">
        <v>258</v>
      </c>
      <c r="D9" s="305" t="s">
        <v>258</v>
      </c>
      <c r="E9" s="305"/>
      <c r="F9" s="305" t="s">
        <v>258</v>
      </c>
      <c r="G9" s="305" t="s">
        <v>258</v>
      </c>
      <c r="H9" s="305" t="s">
        <v>258</v>
      </c>
      <c r="I9" s="305"/>
      <c r="J9" s="305"/>
      <c r="K9" s="305" t="s">
        <v>258</v>
      </c>
      <c r="L9" s="306" t="s">
        <v>258</v>
      </c>
      <c r="M9" s="307"/>
    </row>
    <row r="10" spans="2:13" ht="12.75">
      <c r="B10" s="302">
        <v>1994</v>
      </c>
      <c r="C10" s="305" t="s">
        <v>258</v>
      </c>
      <c r="D10" s="305" t="s">
        <v>258</v>
      </c>
      <c r="E10" s="305"/>
      <c r="F10" s="305" t="s">
        <v>258</v>
      </c>
      <c r="G10" s="305" t="s">
        <v>258</v>
      </c>
      <c r="H10" s="305" t="s">
        <v>258</v>
      </c>
      <c r="I10" s="305"/>
      <c r="J10" s="305"/>
      <c r="K10" s="305" t="s">
        <v>258</v>
      </c>
      <c r="L10" s="306" t="s">
        <v>258</v>
      </c>
      <c r="M10" s="307"/>
    </row>
    <row r="11" spans="2:13" ht="12.75">
      <c r="B11" s="302">
        <v>1995</v>
      </c>
      <c r="C11" s="305">
        <v>6.99</v>
      </c>
      <c r="D11" s="305">
        <v>3.28</v>
      </c>
      <c r="E11" s="305"/>
      <c r="F11" s="305">
        <v>3.12</v>
      </c>
      <c r="G11" s="305">
        <v>1.67</v>
      </c>
      <c r="H11" s="305">
        <v>7.23</v>
      </c>
      <c r="I11" s="305"/>
      <c r="J11" s="305"/>
      <c r="K11" s="305">
        <v>5.52</v>
      </c>
      <c r="L11" s="306">
        <v>6.63</v>
      </c>
      <c r="M11" s="308"/>
    </row>
    <row r="12" spans="2:13" ht="12.75">
      <c r="B12" s="302">
        <v>1996</v>
      </c>
      <c r="C12" s="305">
        <v>7.23</v>
      </c>
      <c r="D12" s="305">
        <v>3.14</v>
      </c>
      <c r="E12" s="305"/>
      <c r="F12" s="305">
        <v>3.13</v>
      </c>
      <c r="G12" s="305">
        <v>1.64</v>
      </c>
      <c r="H12" s="305">
        <v>7.03</v>
      </c>
      <c r="I12" s="305"/>
      <c r="J12" s="305"/>
      <c r="K12" s="305">
        <v>5.39</v>
      </c>
      <c r="L12" s="306">
        <v>3.73</v>
      </c>
      <c r="M12" s="308"/>
    </row>
    <row r="13" spans="2:13" ht="12.75">
      <c r="B13" s="302">
        <v>1997</v>
      </c>
      <c r="C13" s="305">
        <v>7.46</v>
      </c>
      <c r="D13" s="305">
        <v>3.27</v>
      </c>
      <c r="E13" s="305"/>
      <c r="F13" s="305">
        <v>3.25</v>
      </c>
      <c r="G13" s="305">
        <v>1.68</v>
      </c>
      <c r="H13" s="305">
        <v>7.19</v>
      </c>
      <c r="I13" s="305"/>
      <c r="J13" s="305"/>
      <c r="K13" s="305">
        <v>5.78</v>
      </c>
      <c r="L13" s="306">
        <v>3.77</v>
      </c>
      <c r="M13" s="308"/>
    </row>
    <row r="14" spans="2:13" ht="12.75">
      <c r="B14" s="302">
        <v>1998</v>
      </c>
      <c r="C14" s="305">
        <v>7.79</v>
      </c>
      <c r="D14" s="305">
        <v>3.12</v>
      </c>
      <c r="E14" s="305"/>
      <c r="F14" s="305">
        <v>3.28</v>
      </c>
      <c r="G14" s="305">
        <v>1.64</v>
      </c>
      <c r="H14" s="305">
        <v>7.02</v>
      </c>
      <c r="I14" s="305"/>
      <c r="J14" s="305"/>
      <c r="K14" s="305">
        <v>5.57</v>
      </c>
      <c r="L14" s="306">
        <v>3.67</v>
      </c>
      <c r="M14" s="308"/>
    </row>
    <row r="15" spans="2:13" ht="12.75">
      <c r="B15" s="302">
        <v>1999</v>
      </c>
      <c r="C15" s="305">
        <v>8</v>
      </c>
      <c r="D15" s="305">
        <v>3.15</v>
      </c>
      <c r="E15" s="305">
        <v>0.98</v>
      </c>
      <c r="F15" s="305">
        <v>3.06</v>
      </c>
      <c r="G15" s="305">
        <v>1.89</v>
      </c>
      <c r="H15" s="305">
        <v>6.97</v>
      </c>
      <c r="I15" s="305">
        <v>2.07</v>
      </c>
      <c r="J15" s="305">
        <v>3.47</v>
      </c>
      <c r="K15" s="305"/>
      <c r="L15" s="306">
        <v>2.83</v>
      </c>
      <c r="M15" s="308">
        <f>SUM(C15:L15)</f>
        <v>32.42</v>
      </c>
    </row>
    <row r="16" spans="2:13" ht="12.75">
      <c r="B16" s="302">
        <v>2000</v>
      </c>
      <c r="C16" s="305">
        <v>8.06</v>
      </c>
      <c r="D16" s="305">
        <v>3</v>
      </c>
      <c r="E16" s="305">
        <v>1.02</v>
      </c>
      <c r="F16" s="305">
        <v>2.96</v>
      </c>
      <c r="G16" s="305">
        <v>1.89</v>
      </c>
      <c r="H16" s="305">
        <v>6.87</v>
      </c>
      <c r="I16" s="305">
        <v>1.9</v>
      </c>
      <c r="J16" s="305">
        <v>3.43</v>
      </c>
      <c r="K16" s="305"/>
      <c r="L16" s="306">
        <v>2.88</v>
      </c>
      <c r="M16" s="308">
        <f>SUM(C16:L16)</f>
        <v>32.01</v>
      </c>
    </row>
    <row r="17" spans="2:13" ht="12.75">
      <c r="B17" s="302">
        <v>2001</v>
      </c>
      <c r="C17" s="305">
        <v>8.03</v>
      </c>
      <c r="D17" s="305">
        <v>3.02</v>
      </c>
      <c r="E17" s="305">
        <v>0.92</v>
      </c>
      <c r="F17" s="305">
        <v>3.01</v>
      </c>
      <c r="G17" s="305">
        <v>1.9</v>
      </c>
      <c r="H17" s="305">
        <v>7.11</v>
      </c>
      <c r="I17" s="305">
        <v>1.79</v>
      </c>
      <c r="J17" s="305">
        <v>3.32</v>
      </c>
      <c r="K17" s="305"/>
      <c r="L17" s="306">
        <v>2.67</v>
      </c>
      <c r="M17" s="308">
        <f>SUM(C17:L17)</f>
        <v>31.769999999999996</v>
      </c>
    </row>
    <row r="19" ht="12.75">
      <c r="B19" s="170" t="s">
        <v>259</v>
      </c>
    </row>
    <row r="23" spans="2:13" ht="12.75">
      <c r="B23" s="302">
        <v>1999</v>
      </c>
      <c r="C23" s="309">
        <f>+C15/$M15</f>
        <v>0.24676125848241826</v>
      </c>
      <c r="D23" s="309">
        <f>+D15/$M15</f>
        <v>0.09716224552745219</v>
      </c>
      <c r="E23" s="309">
        <f aca="true" t="shared" si="0" ref="E23:L23">+E15/$M15</f>
        <v>0.030228254164096236</v>
      </c>
      <c r="F23" s="309">
        <f t="shared" si="0"/>
        <v>0.09438618136952498</v>
      </c>
      <c r="G23" s="309">
        <f t="shared" si="0"/>
        <v>0.05829734731647131</v>
      </c>
      <c r="H23" s="309">
        <f t="shared" si="0"/>
        <v>0.21499074645280689</v>
      </c>
      <c r="I23" s="309">
        <f t="shared" si="0"/>
        <v>0.06384947563232572</v>
      </c>
      <c r="J23" s="309">
        <f t="shared" si="0"/>
        <v>0.10703269586674892</v>
      </c>
      <c r="K23" s="309">
        <f t="shared" si="0"/>
        <v>0</v>
      </c>
      <c r="L23" s="309">
        <f t="shared" si="0"/>
        <v>0.08729179518815545</v>
      </c>
      <c r="M23" s="310">
        <f>SUM(C23:L23)</f>
        <v>0.9999999999999999</v>
      </c>
    </row>
    <row r="24" spans="2:13" ht="12.75">
      <c r="B24" s="302">
        <v>2000</v>
      </c>
      <c r="C24" s="309">
        <f aca="true" t="shared" si="1" ref="C24:L24">+C16/$M16</f>
        <v>0.2517963136519838</v>
      </c>
      <c r="D24" s="309">
        <f t="shared" si="1"/>
        <v>0.09372071227741331</v>
      </c>
      <c r="E24" s="309">
        <f t="shared" si="1"/>
        <v>0.031865042174320526</v>
      </c>
      <c r="F24" s="309">
        <f t="shared" si="1"/>
        <v>0.09247110278038113</v>
      </c>
      <c r="G24" s="309">
        <f t="shared" si="1"/>
        <v>0.059044048734770385</v>
      </c>
      <c r="H24" s="309">
        <f t="shared" si="1"/>
        <v>0.21462043111527648</v>
      </c>
      <c r="I24" s="309">
        <f t="shared" si="1"/>
        <v>0.05935645110902843</v>
      </c>
      <c r="J24" s="309">
        <f t="shared" si="1"/>
        <v>0.10715401437050923</v>
      </c>
      <c r="K24" s="309">
        <f t="shared" si="1"/>
        <v>0</v>
      </c>
      <c r="L24" s="309">
        <f t="shared" si="1"/>
        <v>0.08997188378631678</v>
      </c>
      <c r="M24" s="310">
        <f>SUM(C24:L24)</f>
        <v>1</v>
      </c>
    </row>
    <row r="25" spans="2:13" ht="12.75">
      <c r="B25" s="302">
        <v>2001</v>
      </c>
      <c r="C25" s="309">
        <f aca="true" t="shared" si="2" ref="C25:L25">+C17/$M17</f>
        <v>0.2527541706011961</v>
      </c>
      <c r="D25" s="309">
        <f t="shared" si="2"/>
        <v>0.09505823103556815</v>
      </c>
      <c r="E25" s="309">
        <f t="shared" si="2"/>
        <v>0.028958136606861824</v>
      </c>
      <c r="F25" s="309">
        <f t="shared" si="2"/>
        <v>0.09474346868114573</v>
      </c>
      <c r="G25" s="309">
        <f t="shared" si="2"/>
        <v>0.05980484734025811</v>
      </c>
      <c r="H25" s="309">
        <f t="shared" si="2"/>
        <v>0.22379603399433431</v>
      </c>
      <c r="I25" s="309">
        <f t="shared" si="2"/>
        <v>0.05634246144161159</v>
      </c>
      <c r="J25" s="309">
        <f t="shared" si="2"/>
        <v>0.10450110166824049</v>
      </c>
      <c r="K25" s="309">
        <f t="shared" si="2"/>
        <v>0</v>
      </c>
      <c r="L25" s="309">
        <f t="shared" si="2"/>
        <v>0.08404154863078377</v>
      </c>
      <c r="M25" s="310">
        <f>SUM(C25:L25)</f>
        <v>1</v>
      </c>
    </row>
    <row r="27" ht="12.75">
      <c r="M27" s="311"/>
    </row>
    <row r="28" spans="3:10" ht="51">
      <c r="C28" s="302" t="s">
        <v>248</v>
      </c>
      <c r="D28" s="302" t="s">
        <v>249</v>
      </c>
      <c r="E28" s="302" t="s">
        <v>251</v>
      </c>
      <c r="F28" s="302" t="s">
        <v>252</v>
      </c>
      <c r="G28" s="302" t="s">
        <v>253</v>
      </c>
      <c r="H28" s="302" t="s">
        <v>256</v>
      </c>
      <c r="I28" s="303" t="s">
        <v>257</v>
      </c>
      <c r="J28" s="304" t="s">
        <v>182</v>
      </c>
    </row>
    <row r="29" spans="2:10" ht="12.75">
      <c r="B29" s="302">
        <v>1995</v>
      </c>
      <c r="C29" s="170">
        <f>+C11</f>
        <v>6.99</v>
      </c>
      <c r="D29" s="170">
        <f>+D11</f>
        <v>3.28</v>
      </c>
      <c r="E29" s="170">
        <f aca="true" t="shared" si="3" ref="E29:G35">+F11</f>
        <v>3.12</v>
      </c>
      <c r="F29" s="170">
        <f t="shared" si="3"/>
        <v>1.67</v>
      </c>
      <c r="G29" s="170">
        <f t="shared" si="3"/>
        <v>7.23</v>
      </c>
      <c r="H29" s="170">
        <f>+K11</f>
        <v>5.52</v>
      </c>
      <c r="I29" s="170">
        <f aca="true" t="shared" si="4" ref="I29:I35">+L11+E11</f>
        <v>6.63</v>
      </c>
      <c r="J29" s="311">
        <f aca="true" t="shared" si="5" ref="J29:J35">SUM(C29:I29)</f>
        <v>34.44</v>
      </c>
    </row>
    <row r="30" spans="2:10" ht="12.75">
      <c r="B30" s="302">
        <v>1996</v>
      </c>
      <c r="C30" s="170">
        <f aca="true" t="shared" si="6" ref="C30:D35">+C12</f>
        <v>7.23</v>
      </c>
      <c r="D30" s="170">
        <f t="shared" si="6"/>
        <v>3.14</v>
      </c>
      <c r="E30" s="170">
        <f t="shared" si="3"/>
        <v>3.13</v>
      </c>
      <c r="F30" s="170">
        <f t="shared" si="3"/>
        <v>1.64</v>
      </c>
      <c r="G30" s="170">
        <f t="shared" si="3"/>
        <v>7.03</v>
      </c>
      <c r="H30" s="170">
        <f>+K12</f>
        <v>5.39</v>
      </c>
      <c r="I30" s="170">
        <f t="shared" si="4"/>
        <v>3.73</v>
      </c>
      <c r="J30" s="311">
        <f t="shared" si="5"/>
        <v>31.290000000000003</v>
      </c>
    </row>
    <row r="31" spans="2:10" ht="12.75">
      <c r="B31" s="302">
        <v>1997</v>
      </c>
      <c r="C31" s="170">
        <f t="shared" si="6"/>
        <v>7.46</v>
      </c>
      <c r="D31" s="170">
        <f t="shared" si="6"/>
        <v>3.27</v>
      </c>
      <c r="E31" s="170">
        <f t="shared" si="3"/>
        <v>3.25</v>
      </c>
      <c r="F31" s="170">
        <f t="shared" si="3"/>
        <v>1.68</v>
      </c>
      <c r="G31" s="170">
        <f t="shared" si="3"/>
        <v>7.19</v>
      </c>
      <c r="H31" s="170">
        <f>+K13</f>
        <v>5.78</v>
      </c>
      <c r="I31" s="170">
        <f t="shared" si="4"/>
        <v>3.77</v>
      </c>
      <c r="J31" s="311">
        <f t="shared" si="5"/>
        <v>32.400000000000006</v>
      </c>
    </row>
    <row r="32" spans="2:10" ht="12.75">
      <c r="B32" s="302">
        <v>1998</v>
      </c>
      <c r="C32" s="170">
        <f t="shared" si="6"/>
        <v>7.79</v>
      </c>
      <c r="D32" s="170">
        <f t="shared" si="6"/>
        <v>3.12</v>
      </c>
      <c r="E32" s="170">
        <f t="shared" si="3"/>
        <v>3.28</v>
      </c>
      <c r="F32" s="170">
        <f t="shared" si="3"/>
        <v>1.64</v>
      </c>
      <c r="G32" s="170">
        <f t="shared" si="3"/>
        <v>7.02</v>
      </c>
      <c r="H32" s="170">
        <f>+K14</f>
        <v>5.57</v>
      </c>
      <c r="I32" s="170">
        <f t="shared" si="4"/>
        <v>3.67</v>
      </c>
      <c r="J32" s="311">
        <f t="shared" si="5"/>
        <v>32.09</v>
      </c>
    </row>
    <row r="33" spans="2:10" ht="12.75">
      <c r="B33" s="302">
        <v>1999</v>
      </c>
      <c r="C33" s="170">
        <f t="shared" si="6"/>
        <v>8</v>
      </c>
      <c r="D33" s="170">
        <f t="shared" si="6"/>
        <v>3.15</v>
      </c>
      <c r="E33" s="170">
        <f t="shared" si="3"/>
        <v>3.06</v>
      </c>
      <c r="F33" s="170">
        <f t="shared" si="3"/>
        <v>1.89</v>
      </c>
      <c r="G33" s="170">
        <f t="shared" si="3"/>
        <v>6.97</v>
      </c>
      <c r="H33" s="312">
        <f>+J15+I15</f>
        <v>5.54</v>
      </c>
      <c r="I33" s="170">
        <f t="shared" si="4"/>
        <v>3.81</v>
      </c>
      <c r="J33" s="311">
        <f t="shared" si="5"/>
        <v>32.42</v>
      </c>
    </row>
    <row r="34" spans="2:10" ht="12.75">
      <c r="B34" s="302">
        <v>2000</v>
      </c>
      <c r="C34" s="170">
        <f t="shared" si="6"/>
        <v>8.06</v>
      </c>
      <c r="D34" s="170">
        <f t="shared" si="6"/>
        <v>3</v>
      </c>
      <c r="E34" s="170">
        <f t="shared" si="3"/>
        <v>2.96</v>
      </c>
      <c r="F34" s="170">
        <f t="shared" si="3"/>
        <v>1.89</v>
      </c>
      <c r="G34" s="170">
        <f t="shared" si="3"/>
        <v>6.87</v>
      </c>
      <c r="H34" s="312">
        <f>+J16+I16</f>
        <v>5.33</v>
      </c>
      <c r="I34" s="170">
        <f t="shared" si="4"/>
        <v>3.9</v>
      </c>
      <c r="J34" s="311">
        <f t="shared" si="5"/>
        <v>32.01</v>
      </c>
    </row>
    <row r="35" spans="2:10" ht="12.75">
      <c r="B35" s="302">
        <v>2001</v>
      </c>
      <c r="C35" s="170">
        <f t="shared" si="6"/>
        <v>8.03</v>
      </c>
      <c r="D35" s="170">
        <f t="shared" si="6"/>
        <v>3.02</v>
      </c>
      <c r="E35" s="170">
        <f t="shared" si="3"/>
        <v>3.01</v>
      </c>
      <c r="F35" s="170">
        <f t="shared" si="3"/>
        <v>1.9</v>
      </c>
      <c r="G35" s="170">
        <f t="shared" si="3"/>
        <v>7.11</v>
      </c>
      <c r="H35" s="312">
        <f>+J17+I17</f>
        <v>5.109999999999999</v>
      </c>
      <c r="I35" s="170">
        <f t="shared" si="4"/>
        <v>3.59</v>
      </c>
      <c r="J35" s="311">
        <f t="shared" si="5"/>
        <v>31.77</v>
      </c>
    </row>
    <row r="37" spans="3:9" ht="12.75">
      <c r="C37" s="170" t="s">
        <v>22</v>
      </c>
      <c r="D37" s="170" t="s">
        <v>260</v>
      </c>
      <c r="E37" s="170" t="s">
        <v>24</v>
      </c>
      <c r="F37" s="312" t="s">
        <v>261</v>
      </c>
      <c r="G37" s="312" t="s">
        <v>262</v>
      </c>
      <c r="H37" s="312" t="s">
        <v>263</v>
      </c>
      <c r="I37" s="312" t="s">
        <v>23</v>
      </c>
    </row>
    <row r="38" spans="2:10" ht="12.75">
      <c r="B38" s="302">
        <v>1995</v>
      </c>
      <c r="C38" s="313">
        <f>+C29/$J29</f>
        <v>0.20296167247386762</v>
      </c>
      <c r="D38" s="313">
        <f aca="true" t="shared" si="7" ref="D38:J38">+D29/$J29</f>
        <v>0.09523809523809523</v>
      </c>
      <c r="E38" s="313">
        <f t="shared" si="7"/>
        <v>0.09059233449477352</v>
      </c>
      <c r="F38" s="313">
        <f t="shared" si="7"/>
        <v>0.048490127758420445</v>
      </c>
      <c r="G38" s="313">
        <f t="shared" si="7"/>
        <v>0.2099303135888502</v>
      </c>
      <c r="H38" s="313">
        <f t="shared" si="7"/>
        <v>0.1602787456445993</v>
      </c>
      <c r="I38" s="313">
        <f t="shared" si="7"/>
        <v>0.19250871080139373</v>
      </c>
      <c r="J38" s="313">
        <f t="shared" si="7"/>
        <v>1</v>
      </c>
    </row>
    <row r="39" spans="2:10" ht="12.75">
      <c r="B39" s="302">
        <v>1996</v>
      </c>
      <c r="C39" s="313">
        <f aca="true" t="shared" si="8" ref="C39:J44">+C30/$J30</f>
        <v>0.23106423777564716</v>
      </c>
      <c r="D39" s="313">
        <f t="shared" si="8"/>
        <v>0.10035155001597953</v>
      </c>
      <c r="E39" s="313">
        <f t="shared" si="8"/>
        <v>0.10003195909236176</v>
      </c>
      <c r="F39" s="313">
        <f t="shared" si="8"/>
        <v>0.05241291147331415</v>
      </c>
      <c r="G39" s="313">
        <f t="shared" si="8"/>
        <v>0.22467241930329176</v>
      </c>
      <c r="H39" s="313">
        <f t="shared" si="8"/>
        <v>0.1722595078299776</v>
      </c>
      <c r="I39" s="313">
        <f t="shared" si="8"/>
        <v>0.11920741450942793</v>
      </c>
      <c r="J39" s="313">
        <f t="shared" si="8"/>
        <v>1</v>
      </c>
    </row>
    <row r="40" spans="2:10" ht="12.75">
      <c r="B40" s="302">
        <v>1997</v>
      </c>
      <c r="C40" s="313">
        <f t="shared" si="8"/>
        <v>0.23024691358024688</v>
      </c>
      <c r="D40" s="313">
        <f t="shared" si="8"/>
        <v>0.1009259259259259</v>
      </c>
      <c r="E40" s="313">
        <f t="shared" si="8"/>
        <v>0.10030864197530863</v>
      </c>
      <c r="F40" s="313">
        <f t="shared" si="8"/>
        <v>0.05185185185185184</v>
      </c>
      <c r="G40" s="313">
        <f t="shared" si="8"/>
        <v>0.22191358024691354</v>
      </c>
      <c r="H40" s="313">
        <f t="shared" si="8"/>
        <v>0.17839506172839503</v>
      </c>
      <c r="I40" s="313">
        <f t="shared" si="8"/>
        <v>0.116358024691358</v>
      </c>
      <c r="J40" s="313">
        <f t="shared" si="8"/>
        <v>1</v>
      </c>
    </row>
    <row r="41" spans="2:10" ht="12.75">
      <c r="B41" s="302">
        <v>1998</v>
      </c>
      <c r="C41" s="313">
        <f t="shared" si="8"/>
        <v>0.2427547522592708</v>
      </c>
      <c r="D41" s="313">
        <f t="shared" si="8"/>
        <v>0.09722655032720473</v>
      </c>
      <c r="E41" s="313">
        <f t="shared" si="8"/>
        <v>0.10221252726706137</v>
      </c>
      <c r="F41" s="313">
        <f t="shared" si="8"/>
        <v>0.051106263633530685</v>
      </c>
      <c r="G41" s="313">
        <f t="shared" si="8"/>
        <v>0.21875973823621062</v>
      </c>
      <c r="H41" s="313">
        <f t="shared" si="8"/>
        <v>0.17357432221875974</v>
      </c>
      <c r="I41" s="313">
        <f t="shared" si="8"/>
        <v>0.11436584605796196</v>
      </c>
      <c r="J41" s="313">
        <f t="shared" si="8"/>
        <v>1</v>
      </c>
    </row>
    <row r="42" spans="2:10" ht="12.75">
      <c r="B42" s="302">
        <v>1999</v>
      </c>
      <c r="C42" s="313">
        <f t="shared" si="8"/>
        <v>0.24676125848241826</v>
      </c>
      <c r="D42" s="313">
        <f t="shared" si="8"/>
        <v>0.09716224552745219</v>
      </c>
      <c r="E42" s="313">
        <f t="shared" si="8"/>
        <v>0.09438618136952498</v>
      </c>
      <c r="F42" s="313">
        <f t="shared" si="8"/>
        <v>0.05829734731647131</v>
      </c>
      <c r="G42" s="313">
        <f t="shared" si="8"/>
        <v>0.21499074645280689</v>
      </c>
      <c r="H42" s="313">
        <f t="shared" si="8"/>
        <v>0.17088217149907464</v>
      </c>
      <c r="I42" s="313">
        <f t="shared" si="8"/>
        <v>0.11752004935225169</v>
      </c>
      <c r="J42" s="313">
        <f t="shared" si="8"/>
        <v>1</v>
      </c>
    </row>
    <row r="43" spans="2:10" ht="12.75">
      <c r="B43" s="302">
        <v>2000</v>
      </c>
      <c r="C43" s="313">
        <f t="shared" si="8"/>
        <v>0.2517963136519838</v>
      </c>
      <c r="D43" s="313">
        <f t="shared" si="8"/>
        <v>0.09372071227741331</v>
      </c>
      <c r="E43" s="313">
        <f t="shared" si="8"/>
        <v>0.09247110278038113</v>
      </c>
      <c r="F43" s="313">
        <f t="shared" si="8"/>
        <v>0.059044048734770385</v>
      </c>
      <c r="G43" s="313">
        <f t="shared" si="8"/>
        <v>0.21462043111527648</v>
      </c>
      <c r="H43" s="313">
        <f t="shared" si="8"/>
        <v>0.16651046547953766</v>
      </c>
      <c r="I43" s="313">
        <f t="shared" si="8"/>
        <v>0.1218369259606373</v>
      </c>
      <c r="J43" s="313">
        <f t="shared" si="8"/>
        <v>1</v>
      </c>
    </row>
    <row r="44" spans="2:10" ht="12.75">
      <c r="B44" s="302">
        <v>2001</v>
      </c>
      <c r="C44" s="313">
        <f t="shared" si="8"/>
        <v>0.2527541706011961</v>
      </c>
      <c r="D44" s="313">
        <f t="shared" si="8"/>
        <v>0.09505823103556815</v>
      </c>
      <c r="E44" s="313">
        <f t="shared" si="8"/>
        <v>0.09474346868114573</v>
      </c>
      <c r="F44" s="313">
        <f t="shared" si="8"/>
        <v>0.0598048473402581</v>
      </c>
      <c r="G44" s="313">
        <f t="shared" si="8"/>
        <v>0.2237960339943343</v>
      </c>
      <c r="H44" s="313">
        <f t="shared" si="8"/>
        <v>0.16084356310985204</v>
      </c>
      <c r="I44" s="313">
        <f t="shared" si="8"/>
        <v>0.11299968523764557</v>
      </c>
      <c r="J44" s="313">
        <f t="shared" si="8"/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13"/>
  <sheetViews>
    <sheetView showGridLines="0" workbookViewId="0" topLeftCell="A85">
      <selection activeCell="C102" sqref="C102:C112"/>
    </sheetView>
  </sheetViews>
  <sheetFormatPr defaultColWidth="9.140625" defaultRowHeight="12.75"/>
  <cols>
    <col min="1" max="1" width="28.140625" style="0" bestFit="1" customWidth="1"/>
    <col min="2" max="2" width="7.28125" style="0" customWidth="1"/>
    <col min="3" max="3" width="7.421875" style="0" customWidth="1"/>
  </cols>
  <sheetData>
    <row r="1" spans="1:3" ht="12.75" customHeight="1">
      <c r="A1" s="391"/>
      <c r="B1" s="391"/>
      <c r="C1" s="392"/>
    </row>
    <row r="2" spans="1:3" ht="12.75">
      <c r="A2" s="302" t="s">
        <v>264</v>
      </c>
      <c r="B2" s="302" t="s">
        <v>265</v>
      </c>
      <c r="C2" s="302" t="s">
        <v>266</v>
      </c>
    </row>
    <row r="3" spans="1:3" ht="12.75">
      <c r="A3" s="302" t="s">
        <v>248</v>
      </c>
      <c r="B3" s="302">
        <v>1991</v>
      </c>
      <c r="C3" s="305" t="s">
        <v>258</v>
      </c>
    </row>
    <row r="4" spans="1:3" ht="12.75">
      <c r="A4" s="302" t="s">
        <v>248</v>
      </c>
      <c r="B4" s="302">
        <v>1992</v>
      </c>
      <c r="C4" s="305" t="s">
        <v>258</v>
      </c>
    </row>
    <row r="5" spans="1:3" ht="12.75">
      <c r="A5" s="302" t="s">
        <v>248</v>
      </c>
      <c r="B5" s="302">
        <v>1993</v>
      </c>
      <c r="C5" s="305" t="s">
        <v>258</v>
      </c>
    </row>
    <row r="6" spans="1:3" ht="12.75">
      <c r="A6" s="302" t="s">
        <v>248</v>
      </c>
      <c r="B6" s="302">
        <v>1994</v>
      </c>
      <c r="C6" s="305" t="s">
        <v>258</v>
      </c>
    </row>
    <row r="7" spans="1:3" ht="12.75">
      <c r="A7" s="302" t="s">
        <v>248</v>
      </c>
      <c r="B7" s="302">
        <v>1995</v>
      </c>
      <c r="C7" s="305" t="s">
        <v>267</v>
      </c>
    </row>
    <row r="8" spans="1:3" ht="12.75">
      <c r="A8" s="302" t="s">
        <v>248</v>
      </c>
      <c r="B8" s="302">
        <v>1996</v>
      </c>
      <c r="C8" s="305" t="s">
        <v>268</v>
      </c>
    </row>
    <row r="9" spans="1:3" ht="12.75">
      <c r="A9" s="302" t="s">
        <v>248</v>
      </c>
      <c r="B9" s="302">
        <v>1997</v>
      </c>
      <c r="C9" s="305" t="s">
        <v>269</v>
      </c>
    </row>
    <row r="10" spans="1:3" ht="12.75">
      <c r="A10" s="302" t="s">
        <v>248</v>
      </c>
      <c r="B10" s="302">
        <v>1998</v>
      </c>
      <c r="C10" s="305" t="s">
        <v>270</v>
      </c>
    </row>
    <row r="11" spans="1:3" ht="12.75">
      <c r="A11" s="302" t="s">
        <v>248</v>
      </c>
      <c r="B11" s="302">
        <v>1999</v>
      </c>
      <c r="C11" s="305" t="s">
        <v>271</v>
      </c>
    </row>
    <row r="12" spans="1:3" ht="12.75">
      <c r="A12" s="302" t="s">
        <v>248</v>
      </c>
      <c r="B12" s="302">
        <v>2000</v>
      </c>
      <c r="C12" s="305" t="s">
        <v>272</v>
      </c>
    </row>
    <row r="13" spans="1:3" ht="12.75">
      <c r="A13" s="302" t="s">
        <v>248</v>
      </c>
      <c r="B13" s="302">
        <v>2001</v>
      </c>
      <c r="C13" s="305" t="s">
        <v>273</v>
      </c>
    </row>
    <row r="14" spans="1:3" ht="12.75">
      <c r="A14" s="302" t="s">
        <v>249</v>
      </c>
      <c r="B14" s="302">
        <v>1991</v>
      </c>
      <c r="C14" s="305" t="s">
        <v>258</v>
      </c>
    </row>
    <row r="15" spans="1:3" ht="12.75">
      <c r="A15" s="302" t="s">
        <v>249</v>
      </c>
      <c r="B15" s="302">
        <v>1992</v>
      </c>
      <c r="C15" s="305" t="s">
        <v>258</v>
      </c>
    </row>
    <row r="16" spans="1:3" ht="12.75">
      <c r="A16" s="302" t="s">
        <v>249</v>
      </c>
      <c r="B16" s="302">
        <v>1993</v>
      </c>
      <c r="C16" s="305" t="s">
        <v>258</v>
      </c>
    </row>
    <row r="17" spans="1:3" ht="12.75">
      <c r="A17" s="302" t="s">
        <v>249</v>
      </c>
      <c r="B17" s="302">
        <v>1994</v>
      </c>
      <c r="C17" s="305" t="s">
        <v>258</v>
      </c>
    </row>
    <row r="18" spans="1:3" ht="12.75">
      <c r="A18" s="302" t="s">
        <v>249</v>
      </c>
      <c r="B18" s="302">
        <v>1995</v>
      </c>
      <c r="C18" s="305" t="s">
        <v>274</v>
      </c>
    </row>
    <row r="19" spans="1:3" ht="12.75">
      <c r="A19" s="302" t="s">
        <v>249</v>
      </c>
      <c r="B19" s="302">
        <v>1996</v>
      </c>
      <c r="C19" s="305" t="s">
        <v>275</v>
      </c>
    </row>
    <row r="20" spans="1:3" ht="12.75">
      <c r="A20" s="302" t="s">
        <v>249</v>
      </c>
      <c r="B20" s="302">
        <v>1997</v>
      </c>
      <c r="C20" s="305" t="s">
        <v>276</v>
      </c>
    </row>
    <row r="21" spans="1:3" ht="12.75">
      <c r="A21" s="302" t="s">
        <v>249</v>
      </c>
      <c r="B21" s="302">
        <v>1998</v>
      </c>
      <c r="C21" s="305" t="s">
        <v>277</v>
      </c>
    </row>
    <row r="22" spans="1:3" ht="12.75">
      <c r="A22" s="302" t="s">
        <v>249</v>
      </c>
      <c r="B22" s="302">
        <v>1999</v>
      </c>
      <c r="C22" s="305" t="s">
        <v>278</v>
      </c>
    </row>
    <row r="23" spans="1:3" ht="12.75">
      <c r="A23" s="302" t="s">
        <v>249</v>
      </c>
      <c r="B23" s="302">
        <v>2000</v>
      </c>
      <c r="C23" s="305" t="s">
        <v>279</v>
      </c>
    </row>
    <row r="24" spans="1:3" ht="12.75">
      <c r="A24" s="302" t="s">
        <v>249</v>
      </c>
      <c r="B24" s="302">
        <v>2001</v>
      </c>
      <c r="C24" s="305" t="s">
        <v>280</v>
      </c>
    </row>
    <row r="25" spans="1:3" ht="12.75">
      <c r="A25" s="302" t="s">
        <v>250</v>
      </c>
      <c r="B25" s="302">
        <v>1991</v>
      </c>
      <c r="C25" s="305"/>
    </row>
    <row r="26" spans="1:3" ht="12.75">
      <c r="A26" s="302" t="s">
        <v>250</v>
      </c>
      <c r="B26" s="302">
        <v>1992</v>
      </c>
      <c r="C26" s="305"/>
    </row>
    <row r="27" spans="1:3" ht="12.75">
      <c r="A27" s="302" t="s">
        <v>250</v>
      </c>
      <c r="B27" s="302">
        <v>1993</v>
      </c>
      <c r="C27" s="305"/>
    </row>
    <row r="28" spans="1:3" ht="12.75">
      <c r="A28" s="302" t="s">
        <v>250</v>
      </c>
      <c r="B28" s="302">
        <v>1994</v>
      </c>
      <c r="C28" s="305"/>
    </row>
    <row r="29" spans="1:3" ht="12.75">
      <c r="A29" s="302" t="s">
        <v>250</v>
      </c>
      <c r="B29" s="302">
        <v>1995</v>
      </c>
      <c r="C29" s="305"/>
    </row>
    <row r="30" spans="1:3" ht="12.75">
      <c r="A30" s="302" t="s">
        <v>250</v>
      </c>
      <c r="B30" s="302">
        <v>1996</v>
      </c>
      <c r="C30" s="305"/>
    </row>
    <row r="31" spans="1:3" ht="12.75">
      <c r="A31" s="302" t="s">
        <v>250</v>
      </c>
      <c r="B31" s="302">
        <v>1997</v>
      </c>
      <c r="C31" s="305"/>
    </row>
    <row r="32" spans="1:3" ht="12.75">
      <c r="A32" s="302" t="s">
        <v>250</v>
      </c>
      <c r="B32" s="302">
        <v>1998</v>
      </c>
      <c r="C32" s="305"/>
    </row>
    <row r="33" spans="1:3" ht="12.75">
      <c r="A33" s="302" t="s">
        <v>250</v>
      </c>
      <c r="B33" s="302">
        <v>1999</v>
      </c>
      <c r="C33" s="305" t="s">
        <v>281</v>
      </c>
    </row>
    <row r="34" spans="1:3" ht="12.75">
      <c r="A34" s="302" t="s">
        <v>250</v>
      </c>
      <c r="B34" s="302">
        <v>2000</v>
      </c>
      <c r="C34" s="305" t="s">
        <v>282</v>
      </c>
    </row>
    <row r="35" spans="1:3" ht="12.75">
      <c r="A35" s="302" t="s">
        <v>250</v>
      </c>
      <c r="B35" s="302">
        <v>2001</v>
      </c>
      <c r="C35" s="305" t="s">
        <v>283</v>
      </c>
    </row>
    <row r="36" spans="1:3" ht="12.75">
      <c r="A36" s="302" t="s">
        <v>251</v>
      </c>
      <c r="B36" s="302">
        <v>1991</v>
      </c>
      <c r="C36" s="305" t="s">
        <v>258</v>
      </c>
    </row>
    <row r="37" spans="1:3" ht="12.75">
      <c r="A37" s="302" t="s">
        <v>251</v>
      </c>
      <c r="B37" s="302">
        <v>1992</v>
      </c>
      <c r="C37" s="305" t="s">
        <v>258</v>
      </c>
    </row>
    <row r="38" spans="1:3" ht="12.75">
      <c r="A38" s="302" t="s">
        <v>251</v>
      </c>
      <c r="B38" s="302">
        <v>1993</v>
      </c>
      <c r="C38" s="305" t="s">
        <v>258</v>
      </c>
    </row>
    <row r="39" spans="1:3" ht="12.75">
      <c r="A39" s="302" t="s">
        <v>251</v>
      </c>
      <c r="B39" s="302">
        <v>1994</v>
      </c>
      <c r="C39" s="305" t="s">
        <v>258</v>
      </c>
    </row>
    <row r="40" spans="1:3" ht="12.75">
      <c r="A40" s="302" t="s">
        <v>251</v>
      </c>
      <c r="B40" s="302">
        <v>1995</v>
      </c>
      <c r="C40" s="305" t="s">
        <v>277</v>
      </c>
    </row>
    <row r="41" spans="1:3" ht="12.75">
      <c r="A41" s="302" t="s">
        <v>251</v>
      </c>
      <c r="B41" s="302">
        <v>1996</v>
      </c>
      <c r="C41" s="305" t="s">
        <v>284</v>
      </c>
    </row>
    <row r="42" spans="1:3" ht="12.75">
      <c r="A42" s="302" t="s">
        <v>251</v>
      </c>
      <c r="B42" s="302">
        <v>1997</v>
      </c>
      <c r="C42" s="305" t="s">
        <v>285</v>
      </c>
    </row>
    <row r="43" spans="1:3" ht="12.75">
      <c r="A43" s="302" t="s">
        <v>251</v>
      </c>
      <c r="B43" s="302">
        <v>1998</v>
      </c>
      <c r="C43" s="305" t="s">
        <v>274</v>
      </c>
    </row>
    <row r="44" spans="1:3" ht="12.75">
      <c r="A44" s="302" t="s">
        <v>251</v>
      </c>
      <c r="B44" s="302">
        <v>1999</v>
      </c>
      <c r="C44" s="305" t="s">
        <v>286</v>
      </c>
    </row>
    <row r="45" spans="1:3" ht="12.75">
      <c r="A45" s="302" t="s">
        <v>251</v>
      </c>
      <c r="B45" s="302">
        <v>2000</v>
      </c>
      <c r="C45" s="305" t="s">
        <v>287</v>
      </c>
    </row>
    <row r="46" spans="1:3" ht="12.75">
      <c r="A46" s="302" t="s">
        <v>251</v>
      </c>
      <c r="B46" s="302">
        <v>2001</v>
      </c>
      <c r="C46" s="305" t="s">
        <v>288</v>
      </c>
    </row>
    <row r="47" spans="1:3" ht="12.75">
      <c r="A47" s="302" t="s">
        <v>252</v>
      </c>
      <c r="B47" s="302">
        <v>1991</v>
      </c>
      <c r="C47" s="305" t="s">
        <v>258</v>
      </c>
    </row>
    <row r="48" spans="1:3" ht="12.75">
      <c r="A48" s="302" t="s">
        <v>252</v>
      </c>
      <c r="B48" s="302">
        <v>1992</v>
      </c>
      <c r="C48" s="305" t="s">
        <v>258</v>
      </c>
    </row>
    <row r="49" spans="1:3" ht="12.75">
      <c r="A49" s="302" t="s">
        <v>252</v>
      </c>
      <c r="B49" s="302">
        <v>1993</v>
      </c>
      <c r="C49" s="305" t="s">
        <v>258</v>
      </c>
    </row>
    <row r="50" spans="1:3" ht="12.75">
      <c r="A50" s="302" t="s">
        <v>252</v>
      </c>
      <c r="B50" s="302">
        <v>1994</v>
      </c>
      <c r="C50" s="305" t="s">
        <v>258</v>
      </c>
    </row>
    <row r="51" spans="1:3" ht="12.75">
      <c r="A51" s="302" t="s">
        <v>252</v>
      </c>
      <c r="B51" s="302">
        <v>1995</v>
      </c>
      <c r="C51" s="305" t="s">
        <v>289</v>
      </c>
    </row>
    <row r="52" spans="1:3" ht="12.75">
      <c r="A52" s="302" t="s">
        <v>252</v>
      </c>
      <c r="B52" s="302">
        <v>1996</v>
      </c>
      <c r="C52" s="305" t="s">
        <v>290</v>
      </c>
    </row>
    <row r="53" spans="1:3" ht="12.75">
      <c r="A53" s="302" t="s">
        <v>252</v>
      </c>
      <c r="B53" s="302">
        <v>1997</v>
      </c>
      <c r="C53" s="305" t="s">
        <v>291</v>
      </c>
    </row>
    <row r="54" spans="1:3" ht="12.75">
      <c r="A54" s="302" t="s">
        <v>252</v>
      </c>
      <c r="B54" s="302">
        <v>1998</v>
      </c>
      <c r="C54" s="305" t="s">
        <v>290</v>
      </c>
    </row>
    <row r="55" spans="1:3" ht="12.75">
      <c r="A55" s="302" t="s">
        <v>252</v>
      </c>
      <c r="B55" s="302">
        <v>1999</v>
      </c>
      <c r="C55" s="305" t="s">
        <v>292</v>
      </c>
    </row>
    <row r="56" spans="1:3" ht="12.75">
      <c r="A56" s="302" t="s">
        <v>252</v>
      </c>
      <c r="B56" s="302">
        <v>2000</v>
      </c>
      <c r="C56" s="305" t="s">
        <v>292</v>
      </c>
    </row>
    <row r="57" spans="1:3" ht="12.75">
      <c r="A57" s="302" t="s">
        <v>252</v>
      </c>
      <c r="B57" s="302">
        <v>2001</v>
      </c>
      <c r="C57" s="305" t="s">
        <v>293</v>
      </c>
    </row>
    <row r="58" spans="1:3" ht="12.75">
      <c r="A58" s="302" t="s">
        <v>253</v>
      </c>
      <c r="B58" s="302">
        <v>1991</v>
      </c>
      <c r="C58" s="305" t="s">
        <v>258</v>
      </c>
    </row>
    <row r="59" spans="1:3" ht="12.75">
      <c r="A59" s="302" t="s">
        <v>253</v>
      </c>
      <c r="B59" s="302">
        <v>1992</v>
      </c>
      <c r="C59" s="305" t="s">
        <v>258</v>
      </c>
    </row>
    <row r="60" spans="1:3" ht="12.75">
      <c r="A60" s="302" t="s">
        <v>253</v>
      </c>
      <c r="B60" s="302">
        <v>1993</v>
      </c>
      <c r="C60" s="305" t="s">
        <v>258</v>
      </c>
    </row>
    <row r="61" spans="1:3" ht="12.75">
      <c r="A61" s="302" t="s">
        <v>253</v>
      </c>
      <c r="B61" s="302">
        <v>1994</v>
      </c>
      <c r="C61" s="305" t="s">
        <v>258</v>
      </c>
    </row>
    <row r="62" spans="1:3" ht="12.75">
      <c r="A62" s="302" t="s">
        <v>253</v>
      </c>
      <c r="B62" s="302">
        <v>1995</v>
      </c>
      <c r="C62" s="305" t="s">
        <v>268</v>
      </c>
    </row>
    <row r="63" spans="1:3" ht="12.75">
      <c r="A63" s="302" t="s">
        <v>253</v>
      </c>
      <c r="B63" s="302">
        <v>1996</v>
      </c>
      <c r="C63" s="305" t="s">
        <v>294</v>
      </c>
    </row>
    <row r="64" spans="1:3" ht="12.75">
      <c r="A64" s="302" t="s">
        <v>253</v>
      </c>
      <c r="B64" s="302">
        <v>1997</v>
      </c>
      <c r="C64" s="305" t="s">
        <v>295</v>
      </c>
    </row>
    <row r="65" spans="1:3" ht="12.75">
      <c r="A65" s="302" t="s">
        <v>253</v>
      </c>
      <c r="B65" s="302">
        <v>1998</v>
      </c>
      <c r="C65" s="305" t="s">
        <v>296</v>
      </c>
    </row>
    <row r="66" spans="1:3" ht="12.75">
      <c r="A66" s="302" t="s">
        <v>253</v>
      </c>
      <c r="B66" s="302">
        <v>1999</v>
      </c>
      <c r="C66" s="305" t="s">
        <v>297</v>
      </c>
    </row>
    <row r="67" spans="1:3" ht="12.75">
      <c r="A67" s="302" t="s">
        <v>253</v>
      </c>
      <c r="B67" s="302">
        <v>2000</v>
      </c>
      <c r="C67" s="305" t="s">
        <v>298</v>
      </c>
    </row>
    <row r="68" spans="1:3" ht="12.75">
      <c r="A68" s="302" t="s">
        <v>253</v>
      </c>
      <c r="B68" s="302">
        <v>2001</v>
      </c>
      <c r="C68" s="305" t="s">
        <v>299</v>
      </c>
    </row>
    <row r="69" spans="1:3" ht="12.75">
      <c r="A69" s="302" t="s">
        <v>254</v>
      </c>
      <c r="B69" s="302">
        <v>1991</v>
      </c>
      <c r="C69" s="305"/>
    </row>
    <row r="70" spans="1:3" ht="12.75">
      <c r="A70" s="302" t="s">
        <v>254</v>
      </c>
      <c r="B70" s="302">
        <v>1992</v>
      </c>
      <c r="C70" s="305"/>
    </row>
    <row r="71" spans="1:3" ht="12.75">
      <c r="A71" s="302" t="s">
        <v>254</v>
      </c>
      <c r="B71" s="302">
        <v>1993</v>
      </c>
      <c r="C71" s="305"/>
    </row>
    <row r="72" spans="1:3" ht="12.75">
      <c r="A72" s="302" t="s">
        <v>254</v>
      </c>
      <c r="B72" s="302">
        <v>1994</v>
      </c>
      <c r="C72" s="305"/>
    </row>
    <row r="73" spans="1:3" ht="12.75">
      <c r="A73" s="302" t="s">
        <v>254</v>
      </c>
      <c r="B73" s="302">
        <v>1995</v>
      </c>
      <c r="C73" s="305"/>
    </row>
    <row r="74" spans="1:3" ht="12.75">
      <c r="A74" s="302" t="s">
        <v>254</v>
      </c>
      <c r="B74" s="302">
        <v>1996</v>
      </c>
      <c r="C74" s="305"/>
    </row>
    <row r="75" spans="1:3" ht="12.75">
      <c r="A75" s="302" t="s">
        <v>254</v>
      </c>
      <c r="B75" s="302">
        <v>1997</v>
      </c>
      <c r="C75" s="305"/>
    </row>
    <row r="76" spans="1:3" ht="12.75">
      <c r="A76" s="302" t="s">
        <v>254</v>
      </c>
      <c r="B76" s="302">
        <v>1998</v>
      </c>
      <c r="C76" s="305"/>
    </row>
    <row r="77" spans="1:3" ht="12.75">
      <c r="A77" s="302" t="s">
        <v>254</v>
      </c>
      <c r="B77" s="302">
        <v>1999</v>
      </c>
      <c r="C77" s="305" t="s">
        <v>300</v>
      </c>
    </row>
    <row r="78" spans="1:3" ht="12.75">
      <c r="A78" s="302" t="s">
        <v>254</v>
      </c>
      <c r="B78" s="302">
        <v>2000</v>
      </c>
      <c r="C78" s="305" t="s">
        <v>293</v>
      </c>
    </row>
    <row r="79" spans="1:3" ht="12.75">
      <c r="A79" s="302" t="s">
        <v>254</v>
      </c>
      <c r="B79" s="302">
        <v>2001</v>
      </c>
      <c r="C79" s="305" t="s">
        <v>301</v>
      </c>
    </row>
    <row r="80" spans="1:3" ht="12.75">
      <c r="A80" s="302" t="s">
        <v>255</v>
      </c>
      <c r="B80" s="302">
        <v>1991</v>
      </c>
      <c r="C80" s="305"/>
    </row>
    <row r="81" spans="1:3" ht="12.75">
      <c r="A81" s="302" t="s">
        <v>255</v>
      </c>
      <c r="B81" s="302">
        <v>1992</v>
      </c>
      <c r="C81" s="305"/>
    </row>
    <row r="82" spans="1:3" ht="12.75">
      <c r="A82" s="302" t="s">
        <v>255</v>
      </c>
      <c r="B82" s="302">
        <v>1993</v>
      </c>
      <c r="C82" s="305"/>
    </row>
    <row r="83" spans="1:3" ht="12.75">
      <c r="A83" s="302" t="s">
        <v>255</v>
      </c>
      <c r="B83" s="302">
        <v>1994</v>
      </c>
      <c r="C83" s="305"/>
    </row>
    <row r="84" spans="1:3" ht="12.75">
      <c r="A84" s="302" t="s">
        <v>255</v>
      </c>
      <c r="B84" s="302">
        <v>1995</v>
      </c>
      <c r="C84" s="305"/>
    </row>
    <row r="85" spans="1:3" ht="12.75">
      <c r="A85" s="302" t="s">
        <v>255</v>
      </c>
      <c r="B85" s="302">
        <v>1996</v>
      </c>
      <c r="C85" s="305"/>
    </row>
    <row r="86" spans="1:3" ht="12.75">
      <c r="A86" s="302" t="s">
        <v>255</v>
      </c>
      <c r="B86" s="302">
        <v>1997</v>
      </c>
      <c r="C86" s="305"/>
    </row>
    <row r="87" spans="1:3" ht="12.75">
      <c r="A87" s="302" t="s">
        <v>255</v>
      </c>
      <c r="B87" s="302">
        <v>1998</v>
      </c>
      <c r="C87" s="305"/>
    </row>
    <row r="88" spans="1:3" ht="12.75">
      <c r="A88" s="302" t="s">
        <v>255</v>
      </c>
      <c r="B88" s="302">
        <v>1999</v>
      </c>
      <c r="C88" s="305" t="s">
        <v>302</v>
      </c>
    </row>
    <row r="89" spans="1:3" ht="12.75">
      <c r="A89" s="302" t="s">
        <v>255</v>
      </c>
      <c r="B89" s="302">
        <v>2000</v>
      </c>
      <c r="C89" s="305" t="s">
        <v>303</v>
      </c>
    </row>
    <row r="90" spans="1:3" ht="12.75">
      <c r="A90" s="302" t="s">
        <v>255</v>
      </c>
      <c r="B90" s="302">
        <v>2001</v>
      </c>
      <c r="C90" s="305" t="s">
        <v>304</v>
      </c>
    </row>
    <row r="91" spans="1:3" ht="12.75">
      <c r="A91" s="302" t="s">
        <v>256</v>
      </c>
      <c r="B91" s="302">
        <v>1991</v>
      </c>
      <c r="C91" s="305" t="s">
        <v>258</v>
      </c>
    </row>
    <row r="92" spans="1:3" ht="12.75">
      <c r="A92" s="302" t="s">
        <v>256</v>
      </c>
      <c r="B92" s="302">
        <v>1992</v>
      </c>
      <c r="C92" s="305" t="s">
        <v>258</v>
      </c>
    </row>
    <row r="93" spans="1:3" ht="12.75">
      <c r="A93" s="302" t="s">
        <v>256</v>
      </c>
      <c r="B93" s="302">
        <v>1993</v>
      </c>
      <c r="C93" s="305" t="s">
        <v>258</v>
      </c>
    </row>
    <row r="94" spans="1:3" ht="12.75">
      <c r="A94" s="302" t="s">
        <v>256</v>
      </c>
      <c r="B94" s="302">
        <v>1994</v>
      </c>
      <c r="C94" s="305" t="s">
        <v>258</v>
      </c>
    </row>
    <row r="95" spans="1:3" ht="12.75">
      <c r="A95" s="302" t="s">
        <v>256</v>
      </c>
      <c r="B95" s="302">
        <v>1995</v>
      </c>
      <c r="C95" s="305" t="s">
        <v>305</v>
      </c>
    </row>
    <row r="96" spans="1:3" ht="12.75">
      <c r="A96" s="302" t="s">
        <v>256</v>
      </c>
      <c r="B96" s="302">
        <v>1996</v>
      </c>
      <c r="C96" s="305" t="s">
        <v>306</v>
      </c>
    </row>
    <row r="97" spans="1:3" ht="12.75">
      <c r="A97" s="302" t="s">
        <v>256</v>
      </c>
      <c r="B97" s="302">
        <v>1997</v>
      </c>
      <c r="C97" s="305" t="s">
        <v>307</v>
      </c>
    </row>
    <row r="98" spans="1:3" ht="12.75">
      <c r="A98" s="302" t="s">
        <v>256</v>
      </c>
      <c r="B98" s="302">
        <v>1998</v>
      </c>
      <c r="C98" s="305" t="s">
        <v>308</v>
      </c>
    </row>
    <row r="99" spans="1:3" ht="12.75">
      <c r="A99" s="302" t="s">
        <v>256</v>
      </c>
      <c r="B99" s="302">
        <v>1999</v>
      </c>
      <c r="C99" s="305"/>
    </row>
    <row r="100" spans="1:3" ht="12.75">
      <c r="A100" s="302" t="s">
        <v>256</v>
      </c>
      <c r="B100" s="302">
        <v>2000</v>
      </c>
      <c r="C100" s="305"/>
    </row>
    <row r="101" spans="1:3" ht="12.75">
      <c r="A101" s="302" t="s">
        <v>256</v>
      </c>
      <c r="B101" s="302">
        <v>2001</v>
      </c>
      <c r="C101" s="305"/>
    </row>
    <row r="102" spans="1:3" ht="12.75">
      <c r="A102" s="302" t="s">
        <v>257</v>
      </c>
      <c r="B102" s="302">
        <v>1991</v>
      </c>
      <c r="C102" s="305" t="s">
        <v>258</v>
      </c>
    </row>
    <row r="103" spans="1:3" ht="12.75">
      <c r="A103" s="302" t="s">
        <v>257</v>
      </c>
      <c r="B103" s="302">
        <v>1992</v>
      </c>
      <c r="C103" s="305" t="s">
        <v>258</v>
      </c>
    </row>
    <row r="104" spans="1:3" ht="12.75">
      <c r="A104" s="302" t="s">
        <v>257</v>
      </c>
      <c r="B104" s="302">
        <v>1993</v>
      </c>
      <c r="C104" s="305" t="s">
        <v>258</v>
      </c>
    </row>
    <row r="105" spans="1:3" ht="12.75">
      <c r="A105" s="302" t="s">
        <v>257</v>
      </c>
      <c r="B105" s="302">
        <v>1994</v>
      </c>
      <c r="C105" s="305" t="s">
        <v>258</v>
      </c>
    </row>
    <row r="106" spans="1:3" ht="12.75">
      <c r="A106" s="302" t="s">
        <v>257</v>
      </c>
      <c r="B106" s="302">
        <v>1995</v>
      </c>
      <c r="C106" s="305" t="s">
        <v>309</v>
      </c>
    </row>
    <row r="107" spans="1:3" ht="12.75">
      <c r="A107" s="302" t="s">
        <v>257</v>
      </c>
      <c r="B107" s="302">
        <v>1996</v>
      </c>
      <c r="C107" s="305" t="s">
        <v>310</v>
      </c>
    </row>
    <row r="108" spans="1:3" ht="12.75">
      <c r="A108" s="302" t="s">
        <v>257</v>
      </c>
      <c r="B108" s="302">
        <v>1997</v>
      </c>
      <c r="C108" s="305" t="s">
        <v>311</v>
      </c>
    </row>
    <row r="109" spans="1:3" ht="12.75">
      <c r="A109" s="302" t="s">
        <v>257</v>
      </c>
      <c r="B109" s="302">
        <v>1998</v>
      </c>
      <c r="C109" s="305" t="s">
        <v>312</v>
      </c>
    </row>
    <row r="110" spans="1:3" ht="12.75">
      <c r="A110" s="302" t="s">
        <v>257</v>
      </c>
      <c r="B110" s="302">
        <v>1999</v>
      </c>
      <c r="C110" s="305" t="s">
        <v>313</v>
      </c>
    </row>
    <row r="111" spans="1:3" ht="12.75">
      <c r="A111" s="302" t="s">
        <v>257</v>
      </c>
      <c r="B111" s="302">
        <v>2000</v>
      </c>
      <c r="C111" s="305" t="s">
        <v>314</v>
      </c>
    </row>
    <row r="112" spans="1:3" ht="12.75">
      <c r="A112" s="302" t="s">
        <v>257</v>
      </c>
      <c r="B112" s="302">
        <v>2001</v>
      </c>
      <c r="C112" s="305" t="s">
        <v>315</v>
      </c>
    </row>
    <row r="113" spans="1:3" ht="12.75" customHeight="1">
      <c r="A113" s="393"/>
      <c r="B113" s="393"/>
      <c r="C113" s="394"/>
    </row>
  </sheetData>
  <mergeCells count="2">
    <mergeCell ref="A1:C1"/>
    <mergeCell ref="A113:C1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4" sqref="B14"/>
    </sheetView>
  </sheetViews>
  <sheetFormatPr defaultColWidth="9.140625" defaultRowHeight="12.75"/>
  <cols>
    <col min="1" max="1" width="9.140625" style="6" customWidth="1"/>
    <col min="2" max="2" width="14.28125" style="6" customWidth="1"/>
    <col min="3" max="16384" width="9.140625" style="6" customWidth="1"/>
  </cols>
  <sheetData>
    <row r="1" ht="11.25">
      <c r="A1" s="2" t="s">
        <v>210</v>
      </c>
    </row>
    <row r="3" ht="11.25">
      <c r="B3" s="6" t="s">
        <v>211</v>
      </c>
    </row>
    <row r="4" spans="2:3" ht="11.25">
      <c r="B4" s="76" t="s">
        <v>153</v>
      </c>
      <c r="C4" s="76" t="s">
        <v>155</v>
      </c>
    </row>
    <row r="5" spans="1:4" ht="11.25">
      <c r="A5" s="6">
        <v>1991</v>
      </c>
      <c r="B5" s="9">
        <f>+'EU-15_totals'!B17/'EU-15_totals'!B$21*100</f>
        <v>91.58958695092903</v>
      </c>
      <c r="C5" s="9">
        <f>+'[6]manip_GDP(euro)_EU'!$B7/'[6]manip_GDP(euro)_EU'!$B$11*100</f>
        <v>94.26002556378374</v>
      </c>
      <c r="D5" s="9"/>
    </row>
    <row r="6" spans="1:4" ht="11.25">
      <c r="A6" s="6">
        <v>1992</v>
      </c>
      <c r="B6" s="9">
        <f>+'EU-15_totals'!B18/'EU-15_totals'!B$21*100</f>
        <v>95.15754393893364</v>
      </c>
      <c r="C6" s="9">
        <f>+'[6]manip_GDP(euro)_EU'!$B8/'[6]manip_GDP(euro)_EU'!$B$11*100</f>
        <v>95.45076014364994</v>
      </c>
      <c r="D6" s="9"/>
    </row>
    <row r="7" spans="1:4" ht="11.25">
      <c r="A7" s="6">
        <v>1993</v>
      </c>
      <c r="B7" s="9">
        <f>+'EU-15_totals'!B19/'EU-15_totals'!B$21*100</f>
        <v>96.05872551737377</v>
      </c>
      <c r="C7" s="9">
        <f>+'[6]manip_GDP(euro)_EU'!$B9/'[6]manip_GDP(euro)_EU'!$B$11*100</f>
        <v>95.05133519066165</v>
      </c>
      <c r="D7" s="9"/>
    </row>
    <row r="8" spans="1:4" ht="11.25">
      <c r="A8" s="6">
        <v>1994</v>
      </c>
      <c r="B8" s="9">
        <f>+'EU-15_totals'!B20/'EU-15_totals'!B$21*100</f>
        <v>97.86310493359338</v>
      </c>
      <c r="C8" s="9">
        <f>+'[6]manip_GDP(euro)_EU'!$B10/'[6]manip_GDP(euro)_EU'!$B$11*100</f>
        <v>97.67964745688586</v>
      </c>
      <c r="D8" s="9"/>
    </row>
    <row r="9" spans="1:4" ht="11.25">
      <c r="A9" s="6">
        <v>1995</v>
      </c>
      <c r="B9" s="9">
        <f>+'EU-15_totals'!B21/'EU-15_totals'!B$21*100</f>
        <v>100</v>
      </c>
      <c r="C9" s="9">
        <f>+'[6]manip_GDP(euro)_EU'!$B11/'[6]manip_GDP(euro)_EU'!$B$11*100</f>
        <v>100</v>
      </c>
      <c r="D9" s="9"/>
    </row>
    <row r="10" spans="1:4" ht="11.25">
      <c r="A10" s="6">
        <v>1996</v>
      </c>
      <c r="B10" s="9">
        <f>+'EU-15_totals'!B22/'EU-15_totals'!B$21*100</f>
        <v>102.07607141569974</v>
      </c>
      <c r="C10" s="9">
        <f>+'[6]manip_GDP(euro)_EU'!$B12/'[6]manip_GDP(euro)_EU'!$B$11*100</f>
        <v>101.59390241227516</v>
      </c>
      <c r="D10" s="9"/>
    </row>
    <row r="11" spans="1:4" ht="11.25">
      <c r="A11" s="6">
        <v>1997</v>
      </c>
      <c r="B11" s="9">
        <f>+'EU-15_totals'!B23/'EU-15_totals'!B$21*100</f>
        <v>104.63947667038873</v>
      </c>
      <c r="C11" s="9">
        <f>+'[6]manip_GDP(euro)_EU'!$B13/'[6]manip_GDP(euro)_EU'!$B$11*100</f>
        <v>104.13098786849962</v>
      </c>
      <c r="D11" s="9"/>
    </row>
    <row r="12" spans="1:4" ht="11.25">
      <c r="A12" s="6">
        <v>1998</v>
      </c>
      <c r="B12" s="9">
        <f>+'EU-15_totals'!B24/'EU-15_totals'!B$21*100</f>
        <v>108.14384854314586</v>
      </c>
      <c r="C12" s="9">
        <f>+'[6]manip_GDP(euro)_EU'!$B14/'[6]manip_GDP(euro)_EU'!$B$11*100</f>
        <v>107.13987284178437</v>
      </c>
      <c r="D12" s="9"/>
    </row>
    <row r="13" spans="1:4" ht="11.25">
      <c r="A13" s="6">
        <v>1999</v>
      </c>
      <c r="B13" s="9">
        <f>+'EU-15_totals'!B25/'EU-15_totals'!B$21*100</f>
        <v>110.63052244313099</v>
      </c>
      <c r="C13" s="9">
        <f>+'[6]manip_GDP(euro)_EU'!$B15/'[6]manip_GDP(euro)_EU'!$B$11*100</f>
        <v>110.1062138459204</v>
      </c>
      <c r="D13" s="9"/>
    </row>
    <row r="14" spans="1:4" ht="11.25">
      <c r="A14" s="6">
        <v>2000</v>
      </c>
      <c r="B14" s="9">
        <f>+'EU-15_totals'!B26/'EU-15_totals'!B$21*100</f>
        <v>111.59479111997288</v>
      </c>
      <c r="C14" s="9">
        <f>+'[6]manip_GDP(euro)_EU'!$B16/'[6]manip_GDP(euro)_EU'!$B$11*100</f>
        <v>113.86899375246662</v>
      </c>
      <c r="D14" s="9"/>
    </row>
    <row r="15" spans="1:4" ht="11.25">
      <c r="A15" s="6">
        <v>2001</v>
      </c>
      <c r="B15" s="9" t="e">
        <f>+'EU-15_totals'!B27/'EU-15_totals'!B$21*100</f>
        <v>#N/A</v>
      </c>
      <c r="C15" s="9">
        <f>+'[6]manip_GDP(euro)_EU'!$B17/'[6]manip_GDP(euro)_EU'!$B$11*100</f>
        <v>115.57455327248545</v>
      </c>
      <c r="D15" s="9"/>
    </row>
    <row r="17" spans="1:2" ht="11.25">
      <c r="A17" s="6" t="s">
        <v>51</v>
      </c>
      <c r="B17" s="6" t="s">
        <v>47</v>
      </c>
    </row>
    <row r="19" spans="1:2" ht="11.25">
      <c r="A19" s="6" t="s">
        <v>50</v>
      </c>
      <c r="B19" s="6" t="s">
        <v>156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4:Q33"/>
  <sheetViews>
    <sheetView workbookViewId="0" topLeftCell="A1">
      <pane xSplit="1" ySplit="4" topLeftCell="D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0" sqref="M30"/>
    </sheetView>
  </sheetViews>
  <sheetFormatPr defaultColWidth="9.140625" defaultRowHeight="12.75"/>
  <cols>
    <col min="1" max="13" width="9.140625" style="6" customWidth="1"/>
    <col min="14" max="14" width="7.57421875" style="6" customWidth="1"/>
    <col min="15" max="15" width="8.57421875" style="6" customWidth="1"/>
    <col min="16" max="16384" width="9.140625" style="6" customWidth="1"/>
  </cols>
  <sheetData>
    <row r="4" spans="2:16" ht="33.75">
      <c r="B4" s="2">
        <v>1990</v>
      </c>
      <c r="C4" s="2">
        <v>1991</v>
      </c>
      <c r="D4" s="2">
        <v>1992</v>
      </c>
      <c r="E4" s="2">
        <v>1993</v>
      </c>
      <c r="F4" s="2">
        <v>1994</v>
      </c>
      <c r="G4" s="2">
        <v>1995</v>
      </c>
      <c r="H4" s="2">
        <v>1996</v>
      </c>
      <c r="I4" s="2">
        <v>1997</v>
      </c>
      <c r="J4" s="2">
        <v>1998</v>
      </c>
      <c r="K4" s="2">
        <v>1999</v>
      </c>
      <c r="L4" s="2">
        <v>2000</v>
      </c>
      <c r="M4" s="2">
        <v>2001</v>
      </c>
      <c r="N4" s="314" t="s">
        <v>328</v>
      </c>
      <c r="O4" s="315" t="s">
        <v>329</v>
      </c>
      <c r="P4" s="315" t="s">
        <v>353</v>
      </c>
    </row>
    <row r="5" spans="1:17" ht="11.25">
      <c r="A5" s="6" t="s">
        <v>42</v>
      </c>
      <c r="B5" s="6">
        <v>2991.1</v>
      </c>
      <c r="C5" s="6">
        <v>3100</v>
      </c>
      <c r="D5" s="6">
        <v>3244.9</v>
      </c>
      <c r="E5" s="6">
        <v>3367.5</v>
      </c>
      <c r="F5" s="6">
        <v>3479.7</v>
      </c>
      <c r="G5" s="6">
        <v>3589</v>
      </c>
      <c r="H5" s="6">
        <v>3690</v>
      </c>
      <c r="I5" s="6">
        <v>3782.5</v>
      </c>
      <c r="J5" s="6">
        <v>3887.2</v>
      </c>
      <c r="K5" s="6">
        <v>4009.6</v>
      </c>
      <c r="L5" s="6">
        <v>4097.2</v>
      </c>
      <c r="N5" s="295">
        <f>POWER((L5/C5),(1/($L$4-$C$4)))-1</f>
        <v>0.0314742380735884</v>
      </c>
      <c r="O5" s="295">
        <v>0.04611173201825225</v>
      </c>
      <c r="P5" s="295">
        <f>+O5/N5</f>
        <v>1.46506269382727</v>
      </c>
      <c r="Q5" s="295" t="s">
        <v>330</v>
      </c>
    </row>
    <row r="6" spans="1:17" ht="11.25">
      <c r="A6" s="6" t="s">
        <v>33</v>
      </c>
      <c r="B6" s="6">
        <v>3864</v>
      </c>
      <c r="C6" s="6">
        <v>3970</v>
      </c>
      <c r="D6" s="6">
        <v>4021</v>
      </c>
      <c r="E6" s="6">
        <v>4110</v>
      </c>
      <c r="F6" s="6">
        <v>4210</v>
      </c>
      <c r="G6" s="6">
        <v>4273.4</v>
      </c>
      <c r="H6" s="6">
        <v>4339</v>
      </c>
      <c r="I6" s="6">
        <v>4415.3</v>
      </c>
      <c r="J6" s="6">
        <v>4491.7</v>
      </c>
      <c r="K6" s="6">
        <v>4584</v>
      </c>
      <c r="N6" s="295">
        <f>POWER((K6/C6),(1/($K$4-$C$4)))-1</f>
        <v>0.01813827156476533</v>
      </c>
      <c r="O6" s="295">
        <v>0.2802171290711699</v>
      </c>
      <c r="P6" s="295">
        <f aca="true" t="shared" si="0" ref="P6:P31">+O6/N6</f>
        <v>15.448943305905086</v>
      </c>
      <c r="Q6" s="295"/>
    </row>
    <row r="7" spans="1:17" ht="11.25">
      <c r="A7" s="6" t="s">
        <v>316</v>
      </c>
      <c r="G7" s="6">
        <v>1647.6</v>
      </c>
      <c r="H7" s="6">
        <v>1707</v>
      </c>
      <c r="I7" s="6">
        <v>1730.5</v>
      </c>
      <c r="J7" s="6">
        <v>1809.4</v>
      </c>
      <c r="K7" s="6">
        <v>1908.4</v>
      </c>
      <c r="L7" s="6">
        <v>1992.7</v>
      </c>
      <c r="M7" s="6">
        <v>2085.7</v>
      </c>
      <c r="N7" s="295"/>
      <c r="P7" s="295"/>
      <c r="Q7" s="295"/>
    </row>
    <row r="8" spans="1:17" ht="11.25">
      <c r="A8" s="6" t="s">
        <v>317</v>
      </c>
      <c r="E8" s="6">
        <v>203.6</v>
      </c>
      <c r="F8" s="6">
        <v>210.4</v>
      </c>
      <c r="G8" s="6">
        <v>219.7</v>
      </c>
      <c r="H8" s="6">
        <v>226.8</v>
      </c>
      <c r="I8" s="6">
        <v>235</v>
      </c>
      <c r="J8" s="6">
        <v>249.2</v>
      </c>
      <c r="K8" s="6">
        <v>257</v>
      </c>
      <c r="L8" s="6">
        <v>267.6</v>
      </c>
      <c r="M8" s="6">
        <v>280.1</v>
      </c>
      <c r="N8" s="295"/>
      <c r="P8" s="295"/>
      <c r="Q8" s="295"/>
    </row>
    <row r="9" spans="1:17" ht="11.25">
      <c r="A9" s="6" t="s">
        <v>318</v>
      </c>
      <c r="E9" s="6">
        <v>2833.1</v>
      </c>
      <c r="F9" s="6">
        <v>2923.9</v>
      </c>
      <c r="G9" s="6">
        <v>3043.3</v>
      </c>
      <c r="H9" s="6">
        <v>3192.5</v>
      </c>
      <c r="I9" s="6">
        <v>3391.5</v>
      </c>
      <c r="J9" s="6">
        <v>3493</v>
      </c>
      <c r="K9" s="6">
        <v>3439.7</v>
      </c>
      <c r="L9" s="6">
        <v>3438.9</v>
      </c>
      <c r="M9" s="6">
        <v>3529.8</v>
      </c>
      <c r="N9" s="295"/>
      <c r="P9" s="295"/>
      <c r="Q9" s="295"/>
    </row>
    <row r="10" spans="1:17" ht="11.25">
      <c r="A10" s="6" t="s">
        <v>34</v>
      </c>
      <c r="B10" s="6">
        <v>1590.3</v>
      </c>
      <c r="C10" s="6">
        <v>1594</v>
      </c>
      <c r="D10" s="6">
        <v>1605</v>
      </c>
      <c r="E10" s="6">
        <v>1615</v>
      </c>
      <c r="F10" s="6">
        <v>1611</v>
      </c>
      <c r="G10" s="6">
        <v>1679</v>
      </c>
      <c r="H10" s="6">
        <v>1734</v>
      </c>
      <c r="I10" s="6">
        <v>1783.1</v>
      </c>
      <c r="J10" s="6">
        <v>1817.2</v>
      </c>
      <c r="K10" s="6">
        <v>1843</v>
      </c>
      <c r="L10" s="6">
        <v>1854</v>
      </c>
      <c r="N10" s="295">
        <f>POWER((L10/C10),(1/($L$4-$C$4)))-1</f>
        <v>0.016930488524741882</v>
      </c>
      <c r="O10" s="295">
        <v>0.15542006214457404</v>
      </c>
      <c r="P10" s="295">
        <f t="shared" si="0"/>
        <v>9.179892353221009</v>
      </c>
      <c r="Q10" s="295"/>
    </row>
    <row r="11" spans="1:17" ht="11.25">
      <c r="A11" s="6" t="s">
        <v>319</v>
      </c>
      <c r="B11" s="6">
        <v>240.9</v>
      </c>
      <c r="C11" s="6">
        <v>261.1</v>
      </c>
      <c r="D11" s="6">
        <v>283.5</v>
      </c>
      <c r="E11" s="6">
        <v>317.4</v>
      </c>
      <c r="F11" s="6">
        <v>337.8</v>
      </c>
      <c r="G11" s="6">
        <v>383.4</v>
      </c>
      <c r="H11" s="6">
        <v>406.6</v>
      </c>
      <c r="I11" s="6">
        <v>427.7</v>
      </c>
      <c r="J11" s="6">
        <v>451</v>
      </c>
      <c r="K11" s="6">
        <v>458.7</v>
      </c>
      <c r="L11" s="6">
        <v>463.9</v>
      </c>
      <c r="M11" s="6">
        <v>407.3</v>
      </c>
      <c r="N11" s="295">
        <f>POWER((L11/C11),(1/($L$4-$C$4)))-1</f>
        <v>0.06594618071946767</v>
      </c>
      <c r="P11" s="295">
        <f t="shared" si="0"/>
        <v>0</v>
      </c>
      <c r="Q11" s="295"/>
    </row>
    <row r="12" spans="1:17" ht="11.25">
      <c r="A12" s="6" t="s">
        <v>44</v>
      </c>
      <c r="B12" s="6">
        <v>1938.9</v>
      </c>
      <c r="C12" s="6">
        <v>1922.5</v>
      </c>
      <c r="D12" s="6">
        <v>1936.3</v>
      </c>
      <c r="E12" s="6">
        <v>1872.9</v>
      </c>
      <c r="F12" s="6">
        <v>1872.6</v>
      </c>
      <c r="G12" s="6">
        <v>1900.9</v>
      </c>
      <c r="H12" s="6">
        <v>1942.8</v>
      </c>
      <c r="I12" s="6">
        <v>1948.1</v>
      </c>
      <c r="J12" s="6">
        <v>2021.1</v>
      </c>
      <c r="K12" s="6">
        <v>2082.6</v>
      </c>
      <c r="L12" s="6">
        <v>2134.7</v>
      </c>
      <c r="M12" s="6">
        <v>2160.6</v>
      </c>
      <c r="N12" s="295">
        <f>POWER((L12/C12),(1/($L$4-$C$4)))-1</f>
        <v>0.011701229904190757</v>
      </c>
      <c r="O12" s="295">
        <v>0.20043103448275867</v>
      </c>
      <c r="P12" s="295">
        <f t="shared" si="0"/>
        <v>17.12905704134357</v>
      </c>
      <c r="Q12" s="295"/>
    </row>
    <row r="13" spans="1:17" ht="11.25">
      <c r="A13" s="6" t="s">
        <v>37</v>
      </c>
      <c r="B13" s="6">
        <v>27071.4</v>
      </c>
      <c r="C13" s="6">
        <v>27309.7</v>
      </c>
      <c r="D13" s="6">
        <v>27596.1</v>
      </c>
      <c r="E13" s="6">
        <v>27680.6</v>
      </c>
      <c r="F13" s="6">
        <v>27761.9</v>
      </c>
      <c r="G13" s="6">
        <v>27872.2</v>
      </c>
      <c r="H13" s="6">
        <v>28017.1</v>
      </c>
      <c r="I13" s="6">
        <v>28201.4</v>
      </c>
      <c r="J13" s="6">
        <v>28627.4</v>
      </c>
      <c r="K13" s="6">
        <v>29272.2</v>
      </c>
      <c r="L13" s="6">
        <v>29807.9</v>
      </c>
      <c r="M13" s="6">
        <v>30330.5</v>
      </c>
      <c r="N13" s="295">
        <f>POWER((L13/C13),(1/($L$4-$C$4)))-1</f>
        <v>0.009773171723778118</v>
      </c>
      <c r="O13" s="295">
        <v>0.16775162744116168</v>
      </c>
      <c r="P13" s="295">
        <f t="shared" si="0"/>
        <v>17.16450218847809</v>
      </c>
      <c r="Q13" s="295"/>
    </row>
    <row r="14" spans="1:17" ht="11.25">
      <c r="A14" s="6" t="s">
        <v>96</v>
      </c>
      <c r="B14" s="6">
        <v>35502</v>
      </c>
      <c r="E14" s="6">
        <v>32652</v>
      </c>
      <c r="F14" s="6">
        <v>39765</v>
      </c>
      <c r="G14" s="6">
        <v>40404.3</v>
      </c>
      <c r="H14" s="6">
        <v>40987</v>
      </c>
      <c r="I14" s="6">
        <v>41372</v>
      </c>
      <c r="J14" s="6">
        <v>41673.8</v>
      </c>
      <c r="K14" s="6">
        <v>42323.7</v>
      </c>
      <c r="L14" s="6">
        <v>42836.9</v>
      </c>
      <c r="M14" s="6">
        <v>43772.3</v>
      </c>
      <c r="N14" s="295">
        <f>POWER((L14/B14),(1/($L$4-$B$4)))-1</f>
        <v>0.018958558658331626</v>
      </c>
      <c r="O14" s="295">
        <v>0.020863011634939532</v>
      </c>
      <c r="P14" s="295">
        <f t="shared" si="0"/>
        <v>1.1004534685853329</v>
      </c>
      <c r="Q14" s="295" t="s">
        <v>330</v>
      </c>
    </row>
    <row r="15" spans="1:17" ht="11.25">
      <c r="A15" s="6" t="s">
        <v>35</v>
      </c>
      <c r="B15" s="6">
        <v>1735.4</v>
      </c>
      <c r="C15" s="6">
        <v>1777.5</v>
      </c>
      <c r="D15" s="6">
        <v>1829</v>
      </c>
      <c r="E15" s="6">
        <v>1959</v>
      </c>
      <c r="F15" s="6">
        <v>2074</v>
      </c>
      <c r="G15" s="6">
        <v>2205</v>
      </c>
      <c r="H15" s="6">
        <v>2339</v>
      </c>
      <c r="I15" s="6">
        <v>2500</v>
      </c>
      <c r="J15" s="6">
        <v>2651</v>
      </c>
      <c r="N15" s="295">
        <f>POWER((J15/C15),(1/($J$4-$C$4)))-1</f>
        <v>0.05876607432508618</v>
      </c>
      <c r="O15" s="295">
        <v>0.7336391437308869</v>
      </c>
      <c r="P15" s="295">
        <f t="shared" si="0"/>
        <v>12.484059079265561</v>
      </c>
      <c r="Q15" s="295"/>
    </row>
    <row r="16" spans="1:17" ht="11.25">
      <c r="A16" s="6" t="s">
        <v>320</v>
      </c>
      <c r="G16" s="6">
        <v>2245</v>
      </c>
      <c r="H16" s="6">
        <v>2264</v>
      </c>
      <c r="I16" s="6">
        <v>2297</v>
      </c>
      <c r="J16" s="6">
        <v>2218</v>
      </c>
      <c r="K16" s="6">
        <v>2255.5</v>
      </c>
      <c r="L16" s="6">
        <v>2364.7</v>
      </c>
      <c r="M16" s="6">
        <v>2482.8</v>
      </c>
      <c r="N16" s="295"/>
      <c r="P16" s="295"/>
      <c r="Q16" s="295"/>
    </row>
    <row r="17" spans="1:17" ht="11.25">
      <c r="A17" s="6" t="s">
        <v>38</v>
      </c>
      <c r="B17" s="6">
        <v>796.4</v>
      </c>
      <c r="C17" s="6">
        <v>836.6</v>
      </c>
      <c r="D17" s="6">
        <v>858.5</v>
      </c>
      <c r="E17" s="6">
        <v>891</v>
      </c>
      <c r="F17" s="6">
        <v>939</v>
      </c>
      <c r="G17" s="6">
        <v>990.4</v>
      </c>
      <c r="H17" s="6">
        <v>1057.4</v>
      </c>
      <c r="I17" s="6">
        <v>1134.4</v>
      </c>
      <c r="J17" s="6">
        <v>1196.9</v>
      </c>
      <c r="K17" s="6">
        <v>1269.2</v>
      </c>
      <c r="L17" s="6">
        <v>1319.2</v>
      </c>
      <c r="N17" s="295">
        <f>POWER((L17/C17),(1/($L$4-$C$4)))-1</f>
        <v>0.05190610540537888</v>
      </c>
      <c r="O17" s="295">
        <v>0.6870549608499756</v>
      </c>
      <c r="P17" s="295">
        <f t="shared" si="0"/>
        <v>13.236496082381441</v>
      </c>
      <c r="Q17" s="295"/>
    </row>
    <row r="18" spans="1:17" ht="11.25">
      <c r="A18" s="6" t="s">
        <v>39</v>
      </c>
      <c r="B18" s="6">
        <v>27415.8</v>
      </c>
      <c r="C18" s="6">
        <v>28434</v>
      </c>
      <c r="D18" s="6">
        <v>29429</v>
      </c>
      <c r="E18" s="6">
        <v>29652.1</v>
      </c>
      <c r="F18" s="6">
        <v>29665</v>
      </c>
      <c r="G18" s="6">
        <v>30150</v>
      </c>
      <c r="I18" s="6">
        <v>30741.4</v>
      </c>
      <c r="N18" s="295">
        <f>POWER((I18/C18),(1/($I$4-$C$4)))-1</f>
        <v>0.013089032519228105</v>
      </c>
      <c r="O18" s="295">
        <v>0.23583365071108098</v>
      </c>
      <c r="P18" s="295">
        <f t="shared" si="0"/>
        <v>18.01765335708622</v>
      </c>
      <c r="Q18" s="295"/>
    </row>
    <row r="19" spans="1:17" ht="11.25">
      <c r="A19" s="6" t="s">
        <v>321</v>
      </c>
      <c r="G19" s="6">
        <v>331.5</v>
      </c>
      <c r="H19" s="6">
        <v>379.6</v>
      </c>
      <c r="I19" s="6">
        <v>431.5</v>
      </c>
      <c r="J19" s="6">
        <v>482.5</v>
      </c>
      <c r="K19" s="6">
        <v>525.2</v>
      </c>
      <c r="L19" s="6">
        <v>556.3</v>
      </c>
      <c r="M19" s="6">
        <v>585.6</v>
      </c>
      <c r="N19" s="295"/>
      <c r="P19" s="295"/>
      <c r="Q19" s="295"/>
    </row>
    <row r="20" spans="1:17" ht="11.25">
      <c r="A20" s="6" t="s">
        <v>322</v>
      </c>
      <c r="B20" s="6">
        <v>493</v>
      </c>
      <c r="C20" s="6">
        <v>530.8</v>
      </c>
      <c r="D20" s="6">
        <v>565.3</v>
      </c>
      <c r="E20" s="6">
        <v>597.7</v>
      </c>
      <c r="F20" s="6">
        <v>652.8</v>
      </c>
      <c r="G20" s="6">
        <v>718.5</v>
      </c>
      <c r="H20" s="6">
        <v>785.1</v>
      </c>
      <c r="I20" s="6">
        <v>882.1</v>
      </c>
      <c r="J20" s="6">
        <v>980.9</v>
      </c>
      <c r="K20" s="6">
        <v>1089.3</v>
      </c>
      <c r="L20" s="6">
        <v>1172.2</v>
      </c>
      <c r="N20" s="295">
        <f>POWER((L20/C20),(1/($L$4-$C$4)))-1</f>
        <v>0.09201873471653021</v>
      </c>
      <c r="P20" s="295">
        <f t="shared" si="0"/>
        <v>0</v>
      </c>
      <c r="Q20" s="295"/>
    </row>
    <row r="21" spans="1:17" ht="11.25">
      <c r="A21" s="6" t="s">
        <v>40</v>
      </c>
      <c r="B21" s="6">
        <v>183.4</v>
      </c>
      <c r="C21" s="6">
        <v>191.6</v>
      </c>
      <c r="D21" s="6">
        <v>200.7</v>
      </c>
      <c r="E21" s="6">
        <v>208.8</v>
      </c>
      <c r="F21" s="6">
        <v>217.7</v>
      </c>
      <c r="G21" s="6">
        <v>229</v>
      </c>
      <c r="H21" s="6">
        <v>231.7</v>
      </c>
      <c r="I21" s="6">
        <v>236.8</v>
      </c>
      <c r="J21" s="6">
        <v>244.1</v>
      </c>
      <c r="K21" s="6">
        <v>253.4</v>
      </c>
      <c r="L21" s="6">
        <v>263.5</v>
      </c>
      <c r="M21" s="6">
        <v>273.1</v>
      </c>
      <c r="N21" s="295">
        <f>POWER((L21/C21),(1/($L$4-$C$4)))-1</f>
        <v>0.036039047335144625</v>
      </c>
      <c r="O21" s="295">
        <v>0.22944547653476577</v>
      </c>
      <c r="P21" s="295">
        <f t="shared" si="0"/>
        <v>6.366579959815272</v>
      </c>
      <c r="Q21" s="6" t="s">
        <v>330</v>
      </c>
    </row>
    <row r="22" spans="1:16" ht="11.25">
      <c r="A22" s="6" t="s">
        <v>323</v>
      </c>
      <c r="E22" s="6">
        <v>152.6</v>
      </c>
      <c r="F22" s="6">
        <v>170.6</v>
      </c>
      <c r="G22" s="6">
        <v>180.9</v>
      </c>
      <c r="H22" s="6">
        <v>166.2</v>
      </c>
      <c r="I22" s="6">
        <v>183.8</v>
      </c>
      <c r="J22" s="6">
        <v>174.8</v>
      </c>
      <c r="K22" s="6">
        <v>182.3</v>
      </c>
      <c r="L22" s="6">
        <v>189.1</v>
      </c>
      <c r="M22" s="6">
        <v>195.4</v>
      </c>
      <c r="N22" s="295"/>
      <c r="P22" s="295"/>
    </row>
    <row r="23" spans="1:17" ht="11.25">
      <c r="A23" s="6" t="s">
        <v>41</v>
      </c>
      <c r="B23" s="6">
        <v>5204.6</v>
      </c>
      <c r="C23" s="6">
        <v>5246.6</v>
      </c>
      <c r="D23" s="6">
        <v>5340.9</v>
      </c>
      <c r="E23" s="6">
        <v>5455.7</v>
      </c>
      <c r="F23" s="6">
        <v>5580.8</v>
      </c>
      <c r="G23" s="6">
        <v>5664.4</v>
      </c>
      <c r="H23" s="6">
        <v>5740</v>
      </c>
      <c r="I23" s="6">
        <v>5931.4</v>
      </c>
      <c r="J23" s="6">
        <v>6119.6</v>
      </c>
      <c r="K23" s="6">
        <v>6343.2</v>
      </c>
      <c r="L23" s="6">
        <v>6539.2</v>
      </c>
      <c r="M23" s="6">
        <v>6710.6</v>
      </c>
      <c r="N23" s="295">
        <f>POWER((L23/C23),(1/($L$4-$C$4)))-1</f>
        <v>0.024772369676658634</v>
      </c>
      <c r="O23" s="295">
        <v>0.1333333333333333</v>
      </c>
      <c r="P23" s="295">
        <f t="shared" si="0"/>
        <v>5.382340691410095</v>
      </c>
      <c r="Q23" s="6" t="s">
        <v>330</v>
      </c>
    </row>
    <row r="24" spans="1:16" ht="11.25">
      <c r="A24" s="6" t="s">
        <v>324</v>
      </c>
      <c r="G24" s="6">
        <v>7517.3</v>
      </c>
      <c r="H24" s="6">
        <v>8054.4</v>
      </c>
      <c r="I24" s="6">
        <v>8533.4</v>
      </c>
      <c r="J24" s="6">
        <v>8890.8</v>
      </c>
      <c r="K24" s="6">
        <v>9282.8</v>
      </c>
      <c r="L24" s="6">
        <v>9991.3</v>
      </c>
      <c r="M24" s="6">
        <v>10503</v>
      </c>
      <c r="N24" s="295"/>
      <c r="P24" s="295"/>
    </row>
    <row r="25" spans="1:16" ht="11.25">
      <c r="A25" s="6" t="s">
        <v>43</v>
      </c>
      <c r="B25" s="6">
        <v>2582.9</v>
      </c>
      <c r="C25" s="6">
        <v>2775</v>
      </c>
      <c r="D25" s="6">
        <v>3050</v>
      </c>
      <c r="E25" s="6">
        <v>3295</v>
      </c>
      <c r="F25" s="6">
        <v>3532</v>
      </c>
      <c r="G25" s="6">
        <v>3751</v>
      </c>
      <c r="I25" s="6">
        <v>4273</v>
      </c>
      <c r="N25" s="295">
        <f>POWER((I25/C25),(1/($I$4-$C$4)))-1</f>
        <v>0.07459541748337917</v>
      </c>
      <c r="O25" s="295">
        <v>0.8824768518518515</v>
      </c>
      <c r="P25" s="295">
        <f t="shared" si="0"/>
        <v>11.830175118310436</v>
      </c>
    </row>
    <row r="26" spans="1:16" ht="11.25">
      <c r="A26" s="6" t="s">
        <v>325</v>
      </c>
      <c r="G26" s="6">
        <v>2197.5</v>
      </c>
      <c r="H26" s="6">
        <v>2391.9</v>
      </c>
      <c r="I26" s="6">
        <v>2605.5</v>
      </c>
      <c r="J26" s="6">
        <v>2822.3</v>
      </c>
      <c r="K26" s="6">
        <v>2980</v>
      </c>
      <c r="N26" s="295"/>
      <c r="P26" s="295"/>
    </row>
    <row r="27" spans="1:16" ht="11.25">
      <c r="A27" s="6" t="s">
        <v>326</v>
      </c>
      <c r="B27" s="6">
        <v>875.6</v>
      </c>
      <c r="C27" s="6">
        <v>906.1</v>
      </c>
      <c r="D27" s="6">
        <v>953.2</v>
      </c>
      <c r="E27" s="6">
        <v>994.9</v>
      </c>
      <c r="F27" s="6">
        <v>994</v>
      </c>
      <c r="G27" s="6">
        <v>1015.8</v>
      </c>
      <c r="H27" s="6">
        <v>1058.4</v>
      </c>
      <c r="I27" s="6">
        <v>1135.9</v>
      </c>
      <c r="J27" s="6">
        <v>1196.1</v>
      </c>
      <c r="K27" s="6">
        <v>1236.4</v>
      </c>
      <c r="L27" s="6">
        <v>1274.2</v>
      </c>
      <c r="M27" s="6">
        <v>1292.9</v>
      </c>
      <c r="N27" s="295">
        <f>POWER((L27/C27),(1/($L$4-$C$4)))-1</f>
        <v>0.038607069728290755</v>
      </c>
      <c r="P27" s="295">
        <f t="shared" si="0"/>
        <v>0</v>
      </c>
    </row>
    <row r="28" spans="1:16" ht="11.25">
      <c r="A28" s="6" t="s">
        <v>327</v>
      </c>
      <c r="G28" s="6">
        <v>709.6</v>
      </c>
      <c r="H28" s="6">
        <v>740.9</v>
      </c>
      <c r="I28" s="6">
        <v>778.3</v>
      </c>
      <c r="J28" s="6">
        <v>813.4</v>
      </c>
      <c r="K28" s="6">
        <v>848.3</v>
      </c>
      <c r="L28" s="6">
        <v>868.3</v>
      </c>
      <c r="M28" s="6">
        <v>884.1</v>
      </c>
      <c r="N28" s="295"/>
      <c r="P28" s="295"/>
    </row>
    <row r="29" spans="1:16" ht="11.25">
      <c r="A29" s="6" t="s">
        <v>36</v>
      </c>
      <c r="B29" s="6">
        <v>11996</v>
      </c>
      <c r="C29" s="6">
        <v>12537.1</v>
      </c>
      <c r="D29" s="6">
        <v>13104</v>
      </c>
      <c r="E29" s="6">
        <v>14040.5</v>
      </c>
      <c r="F29" s="6">
        <v>13734</v>
      </c>
      <c r="G29" s="6">
        <v>14212</v>
      </c>
      <c r="H29" s="6">
        <v>14754</v>
      </c>
      <c r="I29" s="6">
        <v>15297.4</v>
      </c>
      <c r="J29" s="6">
        <v>16050.1</v>
      </c>
      <c r="K29" s="6">
        <v>16847</v>
      </c>
      <c r="L29" s="6">
        <v>17449.2</v>
      </c>
      <c r="M29" s="6">
        <v>18151</v>
      </c>
      <c r="N29" s="295">
        <f>POWER((L29/C29),(1/($L$4-$C$4)))-1</f>
        <v>0.03741651869976548</v>
      </c>
      <c r="O29" s="295">
        <v>0.6549685534591194</v>
      </c>
      <c r="P29" s="295">
        <f t="shared" si="0"/>
        <v>17.50479671063638</v>
      </c>
    </row>
    <row r="30" spans="1:16" ht="11.25">
      <c r="A30" s="6" t="s">
        <v>45</v>
      </c>
      <c r="B30" s="6">
        <v>4283.2</v>
      </c>
      <c r="C30" s="6">
        <v>4315.6</v>
      </c>
      <c r="D30" s="6">
        <v>4233.1</v>
      </c>
      <c r="E30" s="6">
        <v>4151.7</v>
      </c>
      <c r="F30" s="6">
        <v>4152.2</v>
      </c>
      <c r="G30" s="6">
        <v>4191.1</v>
      </c>
      <c r="H30" s="6">
        <v>4260.8</v>
      </c>
      <c r="I30" s="6">
        <v>4364.9</v>
      </c>
      <c r="J30" s="6">
        <v>4505.8</v>
      </c>
      <c r="K30" s="6">
        <v>4666</v>
      </c>
      <c r="L30" s="6">
        <v>3998.6</v>
      </c>
      <c r="M30" s="6">
        <v>4018.5</v>
      </c>
      <c r="N30" s="295">
        <f>POWER((L30/C30),(1/($L$4-$C$4)))-1</f>
        <v>-0.008441068516605865</v>
      </c>
      <c r="O30" s="295">
        <v>0.07543856734595034</v>
      </c>
      <c r="P30" s="295">
        <f t="shared" si="0"/>
        <v>-8.937087431234833</v>
      </c>
    </row>
    <row r="31" spans="1:17" ht="11.25">
      <c r="A31" s="6" t="s">
        <v>46</v>
      </c>
      <c r="B31" s="6">
        <v>20188.8</v>
      </c>
      <c r="C31" s="6">
        <v>20992.8</v>
      </c>
      <c r="D31" s="6">
        <v>20973</v>
      </c>
      <c r="E31" s="6">
        <v>21291</v>
      </c>
      <c r="F31" s="6">
        <v>21740</v>
      </c>
      <c r="G31" s="6">
        <v>21949.9</v>
      </c>
      <c r="H31" s="6">
        <v>22301</v>
      </c>
      <c r="I31" s="6">
        <v>22832</v>
      </c>
      <c r="J31" s="6">
        <v>23293</v>
      </c>
      <c r="K31" s="6">
        <v>23975</v>
      </c>
      <c r="L31" s="6">
        <v>24405.5</v>
      </c>
      <c r="M31" s="6">
        <v>25125.9</v>
      </c>
      <c r="N31" s="295">
        <f>POWER((L31/C31),(1/($L$4-$C$4)))-1</f>
        <v>0.016877395762823433</v>
      </c>
      <c r="O31" s="295">
        <v>0.053264604810996596</v>
      </c>
      <c r="P31" s="295">
        <f t="shared" si="0"/>
        <v>3.1559729687873315</v>
      </c>
      <c r="Q31" s="6" t="s">
        <v>330</v>
      </c>
    </row>
    <row r="33" ht="11.25">
      <c r="B33" s="6" t="s">
        <v>331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" sqref="C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K27" sqref="K27"/>
    </sheetView>
  </sheetViews>
  <sheetFormatPr defaultColWidth="9.140625" defaultRowHeight="12.75"/>
  <cols>
    <col min="13" max="13" width="14.8515625" style="0" customWidth="1"/>
  </cols>
  <sheetData>
    <row r="1" spans="1:13" ht="23.25">
      <c r="A1" s="316" t="s">
        <v>332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20.25">
      <c r="A2" s="316"/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2.75">
      <c r="A3" s="320" t="s">
        <v>333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6.5" thickBot="1">
      <c r="A4" s="321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ht="16.5" thickTop="1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13" ht="12.75">
      <c r="A6" s="325" t="s">
        <v>334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7" t="s">
        <v>335</v>
      </c>
    </row>
    <row r="7" spans="1:13" ht="12.75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</row>
    <row r="8" spans="1:13" ht="12.75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</row>
    <row r="9" spans="1:13" ht="12.75">
      <c r="A9" s="326"/>
      <c r="B9" s="326"/>
      <c r="C9" s="326"/>
      <c r="D9" s="326"/>
      <c r="E9" s="329"/>
      <c r="F9" s="329"/>
      <c r="G9" s="327"/>
      <c r="H9" s="330"/>
      <c r="I9" s="327" t="s">
        <v>23</v>
      </c>
      <c r="J9" s="329"/>
      <c r="K9" s="329"/>
      <c r="L9" s="329"/>
      <c r="M9" s="329"/>
    </row>
    <row r="10" spans="1:13" ht="12.75">
      <c r="A10" s="326"/>
      <c r="B10" s="326"/>
      <c r="C10" s="326"/>
      <c r="D10" s="326"/>
      <c r="E10" s="327" t="s">
        <v>336</v>
      </c>
      <c r="F10" s="330"/>
      <c r="G10" s="327" t="s">
        <v>337</v>
      </c>
      <c r="H10" s="330"/>
      <c r="I10" s="327" t="s">
        <v>338</v>
      </c>
      <c r="J10" s="330"/>
      <c r="K10" s="327" t="s">
        <v>339</v>
      </c>
      <c r="L10" s="330"/>
      <c r="M10" s="327" t="s">
        <v>340</v>
      </c>
    </row>
    <row r="11" spans="1:13" ht="15.75">
      <c r="A11" s="331"/>
      <c r="B11" s="331"/>
      <c r="C11" s="324"/>
      <c r="D11" s="324"/>
      <c r="E11" s="332"/>
      <c r="F11" s="333"/>
      <c r="G11" s="332"/>
      <c r="H11" s="333"/>
      <c r="I11" s="334"/>
      <c r="J11" s="333"/>
      <c r="K11" s="332"/>
      <c r="L11" s="333"/>
      <c r="M11" s="332"/>
    </row>
    <row r="12" spans="1:13" ht="15.7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 ht="15.75">
      <c r="A13" s="335" t="s">
        <v>341</v>
      </c>
      <c r="B13" s="324"/>
      <c r="C13" s="324"/>
      <c r="D13" s="324"/>
      <c r="E13" s="336">
        <v>805.399</v>
      </c>
      <c r="F13" s="337"/>
      <c r="G13" s="336">
        <v>3109.157</v>
      </c>
      <c r="H13" s="337"/>
      <c r="I13" s="336">
        <v>375.345</v>
      </c>
      <c r="J13" s="337"/>
      <c r="K13" s="336">
        <v>862.491</v>
      </c>
      <c r="L13" s="338"/>
      <c r="M13" s="336">
        <v>5152.392</v>
      </c>
    </row>
    <row r="14" spans="1:13" ht="15.75">
      <c r="A14" s="335" t="s">
        <v>342</v>
      </c>
      <c r="B14" s="324"/>
      <c r="C14" s="324"/>
      <c r="D14" s="324"/>
      <c r="E14" s="336">
        <v>1078.108</v>
      </c>
      <c r="F14" s="337"/>
      <c r="G14" s="336">
        <v>1432.064</v>
      </c>
      <c r="H14" s="337"/>
      <c r="I14" s="336">
        <v>206.588</v>
      </c>
      <c r="J14" s="337"/>
      <c r="K14" s="336">
        <v>994.592</v>
      </c>
      <c r="L14" s="338"/>
      <c r="M14" s="336">
        <v>3711.351</v>
      </c>
    </row>
    <row r="15" spans="1:13" ht="15.75">
      <c r="A15" s="335" t="s">
        <v>343</v>
      </c>
      <c r="B15" s="324"/>
      <c r="C15" s="324"/>
      <c r="D15" s="324"/>
      <c r="E15" s="336">
        <v>274.021</v>
      </c>
      <c r="F15" s="337"/>
      <c r="G15" s="336">
        <v>304.026</v>
      </c>
      <c r="H15" s="337"/>
      <c r="I15" s="336">
        <v>55.524</v>
      </c>
      <c r="J15" s="337"/>
      <c r="K15" s="336">
        <v>210.966</v>
      </c>
      <c r="L15" s="338"/>
      <c r="M15" s="336">
        <v>844.537</v>
      </c>
    </row>
    <row r="16" spans="1:13" ht="15.75">
      <c r="A16" s="335" t="s">
        <v>344</v>
      </c>
      <c r="B16" s="324"/>
      <c r="C16" s="324"/>
      <c r="D16" s="324"/>
      <c r="E16" s="336">
        <v>1033.4879999999998</v>
      </c>
      <c r="F16" s="337"/>
      <c r="G16" s="336">
        <v>2098.064</v>
      </c>
      <c r="H16" s="337"/>
      <c r="I16" s="336">
        <v>270.42199999999997</v>
      </c>
      <c r="J16" s="337"/>
      <c r="K16" s="336">
        <v>1105.8020000000001</v>
      </c>
      <c r="L16" s="338"/>
      <c r="M16" s="336">
        <v>4507.776</v>
      </c>
    </row>
    <row r="17" spans="1:13" ht="15.75">
      <c r="A17" s="335" t="s">
        <v>345</v>
      </c>
      <c r="B17" s="324"/>
      <c r="C17" s="324"/>
      <c r="D17" s="324"/>
      <c r="E17" s="336">
        <v>426.403</v>
      </c>
      <c r="F17" s="337"/>
      <c r="G17" s="336">
        <v>811.79</v>
      </c>
      <c r="H17" s="337"/>
      <c r="I17" s="336">
        <v>136.028</v>
      </c>
      <c r="J17" s="337"/>
      <c r="K17" s="336">
        <v>523.103</v>
      </c>
      <c r="L17" s="338"/>
      <c r="M17" s="336">
        <v>1897.324</v>
      </c>
    </row>
    <row r="18" spans="1:13" ht="15.75">
      <c r="A18" s="324"/>
      <c r="B18" s="324"/>
      <c r="C18" s="324"/>
      <c r="D18" s="324"/>
      <c r="E18" s="337"/>
      <c r="F18" s="337"/>
      <c r="G18" s="337"/>
      <c r="H18" s="337"/>
      <c r="I18" s="337"/>
      <c r="J18" s="337"/>
      <c r="K18" s="337"/>
      <c r="L18" s="338"/>
      <c r="M18" s="337"/>
    </row>
    <row r="19" spans="1:13" ht="15.75">
      <c r="A19" s="335" t="s">
        <v>182</v>
      </c>
      <c r="B19" s="324"/>
      <c r="C19" s="324"/>
      <c r="D19" s="324"/>
      <c r="E19" s="336">
        <v>3617.418</v>
      </c>
      <c r="F19" s="337"/>
      <c r="G19" s="336">
        <v>7755.101</v>
      </c>
      <c r="H19" s="337"/>
      <c r="I19" s="336">
        <v>1043.908</v>
      </c>
      <c r="J19" s="337"/>
      <c r="K19" s="336">
        <v>3696.953</v>
      </c>
      <c r="L19" s="338"/>
      <c r="M19" s="336">
        <v>16113.38</v>
      </c>
    </row>
    <row r="20" spans="1:13" ht="15.75">
      <c r="A20" s="324"/>
      <c r="B20" s="324"/>
      <c r="C20" s="324"/>
      <c r="D20" s="324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15.75">
      <c r="A21" s="340"/>
      <c r="B21" s="340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</row>
    <row r="22" spans="1:13" ht="12.75">
      <c r="A22" s="325" t="s">
        <v>346</v>
      </c>
      <c r="B22" s="326"/>
      <c r="C22" s="326"/>
      <c r="D22" s="326"/>
      <c r="E22" s="342"/>
      <c r="F22" s="342"/>
      <c r="G22" s="342"/>
      <c r="H22" s="342"/>
      <c r="I22" s="342"/>
      <c r="J22" s="342"/>
      <c r="K22" s="342"/>
      <c r="L22" s="342"/>
      <c r="M22" s="343" t="s">
        <v>335</v>
      </c>
    </row>
    <row r="23" spans="1:13" ht="12.75">
      <c r="A23" s="326"/>
      <c r="B23" s="326"/>
      <c r="C23" s="326"/>
      <c r="D23" s="326"/>
      <c r="E23" s="342"/>
      <c r="F23" s="342"/>
      <c r="G23" s="342"/>
      <c r="H23" s="342"/>
      <c r="I23" s="342"/>
      <c r="J23" s="342"/>
      <c r="K23" s="342"/>
      <c r="L23" s="342"/>
      <c r="M23" s="342"/>
    </row>
    <row r="24" spans="1:13" ht="12.75">
      <c r="A24" s="344"/>
      <c r="B24" s="344"/>
      <c r="C24" s="344"/>
      <c r="D24" s="344"/>
      <c r="E24" s="345"/>
      <c r="F24" s="345"/>
      <c r="G24" s="345"/>
      <c r="H24" s="345"/>
      <c r="I24" s="345"/>
      <c r="J24" s="345"/>
      <c r="K24" s="345"/>
      <c r="L24" s="345"/>
      <c r="M24" s="345"/>
    </row>
    <row r="25" spans="1:13" ht="12.75">
      <c r="A25" s="326"/>
      <c r="B25" s="326"/>
      <c r="C25" s="326"/>
      <c r="D25" s="326"/>
      <c r="E25" s="346"/>
      <c r="F25" s="346"/>
      <c r="G25" s="327"/>
      <c r="H25" s="347"/>
      <c r="I25" s="327" t="s">
        <v>23</v>
      </c>
      <c r="J25" s="346"/>
      <c r="K25" s="346"/>
      <c r="L25" s="346"/>
      <c r="M25" s="346"/>
    </row>
    <row r="26" spans="1:14" ht="12.75">
      <c r="A26" s="326"/>
      <c r="B26" s="326"/>
      <c r="C26" s="326"/>
      <c r="D26" s="326"/>
      <c r="E26" s="327" t="s">
        <v>360</v>
      </c>
      <c r="F26" s="347"/>
      <c r="G26" s="327" t="s">
        <v>361</v>
      </c>
      <c r="H26" s="347"/>
      <c r="I26" s="327" t="s">
        <v>362</v>
      </c>
      <c r="J26" s="347"/>
      <c r="K26" s="327" t="s">
        <v>363</v>
      </c>
      <c r="L26" s="347"/>
      <c r="M26" s="327" t="s">
        <v>340</v>
      </c>
    </row>
    <row r="27" spans="1:13" ht="15.75">
      <c r="A27" s="332"/>
      <c r="B27" s="332"/>
      <c r="C27" s="333"/>
      <c r="D27" s="324"/>
      <c r="E27" s="348"/>
      <c r="F27" s="349"/>
      <c r="G27" s="348"/>
      <c r="H27" s="349"/>
      <c r="I27" s="348"/>
      <c r="J27" s="349"/>
      <c r="K27" s="348"/>
      <c r="L27" s="349"/>
      <c r="M27" s="348"/>
    </row>
    <row r="28" spans="1:13" ht="15.75">
      <c r="A28" s="324"/>
      <c r="B28" s="324"/>
      <c r="C28" s="324"/>
      <c r="D28" s="324"/>
      <c r="E28" s="339"/>
      <c r="F28" s="339"/>
      <c r="G28" s="339"/>
      <c r="H28" s="339"/>
      <c r="I28" s="339"/>
      <c r="J28" s="339"/>
      <c r="K28" s="339"/>
      <c r="L28" s="339"/>
      <c r="M28" s="339"/>
    </row>
    <row r="29" spans="1:13" ht="15.75">
      <c r="A29" s="335" t="s">
        <v>341</v>
      </c>
      <c r="B29" s="324"/>
      <c r="C29" s="324"/>
      <c r="D29" s="324"/>
      <c r="E29" s="336">
        <v>824.324</v>
      </c>
      <c r="F29" s="337"/>
      <c r="G29" s="336">
        <v>4089.599</v>
      </c>
      <c r="H29" s="337"/>
      <c r="I29" s="336">
        <v>465.807</v>
      </c>
      <c r="J29" s="337"/>
      <c r="K29" s="336">
        <v>919.338</v>
      </c>
      <c r="L29" s="337"/>
      <c r="M29" s="336">
        <v>6299.067</v>
      </c>
    </row>
    <row r="30" spans="1:13" ht="15.75">
      <c r="A30" s="335" t="s">
        <v>354</v>
      </c>
      <c r="B30" s="324"/>
      <c r="C30" s="324"/>
      <c r="D30" s="363">
        <v>2</v>
      </c>
      <c r="E30" s="336">
        <v>1754.548</v>
      </c>
      <c r="F30" s="337"/>
      <c r="G30" s="336">
        <v>8586.906</v>
      </c>
      <c r="H30" s="337"/>
      <c r="I30" s="336">
        <v>818.7</v>
      </c>
      <c r="J30" s="337"/>
      <c r="K30" s="336">
        <v>1719.466</v>
      </c>
      <c r="L30" s="337"/>
      <c r="M30" s="336">
        <v>12879.618</v>
      </c>
    </row>
    <row r="31" spans="1:13" ht="15.75">
      <c r="A31" s="335" t="s">
        <v>355</v>
      </c>
      <c r="B31" s="324"/>
      <c r="C31" s="324"/>
      <c r="D31" s="363">
        <v>3</v>
      </c>
      <c r="E31" s="336">
        <v>1014.081</v>
      </c>
      <c r="F31" s="337"/>
      <c r="G31" s="336">
        <v>11641.818</v>
      </c>
      <c r="H31" s="337"/>
      <c r="I31" s="336">
        <v>2209.037</v>
      </c>
      <c r="J31" s="337"/>
      <c r="K31" s="336">
        <v>2017.42</v>
      </c>
      <c r="L31" s="337"/>
      <c r="M31" s="336">
        <v>16882.305999999997</v>
      </c>
    </row>
    <row r="32" spans="1:13" ht="15.75">
      <c r="A32" s="335" t="s">
        <v>344</v>
      </c>
      <c r="B32" s="324"/>
      <c r="C32" s="324"/>
      <c r="D32" s="324"/>
      <c r="E32" s="336">
        <v>945.524</v>
      </c>
      <c r="F32" s="337"/>
      <c r="G32" s="336">
        <v>3061.069</v>
      </c>
      <c r="H32" s="337"/>
      <c r="I32" s="336">
        <v>404.509</v>
      </c>
      <c r="J32" s="337"/>
      <c r="K32" s="336">
        <v>1640.462</v>
      </c>
      <c r="L32" s="337"/>
      <c r="M32" s="336">
        <v>6051.564</v>
      </c>
    </row>
    <row r="33" spans="1:13" ht="15.75">
      <c r="A33" s="335" t="s">
        <v>345</v>
      </c>
      <c r="B33" s="324"/>
      <c r="C33" s="324"/>
      <c r="D33" s="324"/>
      <c r="E33" s="336">
        <v>96.129</v>
      </c>
      <c r="F33" s="337"/>
      <c r="G33" s="336">
        <v>449.872</v>
      </c>
      <c r="H33" s="337"/>
      <c r="I33" s="336">
        <v>43.499</v>
      </c>
      <c r="J33" s="337"/>
      <c r="K33" s="336">
        <v>231.133</v>
      </c>
      <c r="L33" s="337"/>
      <c r="M33" s="336">
        <v>820.633</v>
      </c>
    </row>
    <row r="34" spans="1:13" ht="15.75">
      <c r="A34" s="324"/>
      <c r="B34" s="324"/>
      <c r="C34" s="324"/>
      <c r="D34" s="324"/>
      <c r="E34" s="337"/>
      <c r="F34" s="337"/>
      <c r="G34" s="337"/>
      <c r="H34" s="337"/>
      <c r="I34" s="337"/>
      <c r="J34" s="337"/>
      <c r="K34" s="337"/>
      <c r="L34" s="337"/>
      <c r="M34" s="337"/>
    </row>
    <row r="35" spans="1:13" ht="15.75">
      <c r="A35" s="335" t="s">
        <v>182</v>
      </c>
      <c r="B35" s="324"/>
      <c r="C35" s="324"/>
      <c r="D35" s="324"/>
      <c r="E35" s="336">
        <v>4634.605</v>
      </c>
      <c r="F35" s="337"/>
      <c r="G35" s="336">
        <v>27829.26</v>
      </c>
      <c r="H35" s="337"/>
      <c r="I35" s="336">
        <v>3941.551</v>
      </c>
      <c r="J35" s="337"/>
      <c r="K35" s="336">
        <v>6527.769</v>
      </c>
      <c r="L35" s="337"/>
      <c r="M35" s="336">
        <v>42933.19</v>
      </c>
    </row>
    <row r="36" spans="1:13" ht="15.75" thickBot="1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</row>
    <row r="37" spans="1:13" ht="15.75" thickTop="1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</row>
    <row r="38" spans="1:13" ht="15">
      <c r="A38" s="352" t="s">
        <v>347</v>
      </c>
      <c r="B38" s="352"/>
      <c r="C38" s="353"/>
      <c r="D38" s="353"/>
      <c r="E38" s="353"/>
      <c r="F38" s="353"/>
      <c r="G38" s="353"/>
      <c r="H38" s="353"/>
      <c r="I38" s="353"/>
      <c r="J38" s="353"/>
      <c r="K38" s="354"/>
      <c r="L38" s="355"/>
      <c r="M38" s="356" t="s">
        <v>348</v>
      </c>
    </row>
    <row r="39" spans="1:13" ht="15">
      <c r="A39" s="352" t="s">
        <v>349</v>
      </c>
      <c r="B39" s="352"/>
      <c r="C39" s="353"/>
      <c r="D39" s="353"/>
      <c r="E39" s="353"/>
      <c r="F39" s="353"/>
      <c r="G39" s="353"/>
      <c r="H39" s="353"/>
      <c r="I39" s="353"/>
      <c r="J39" s="353"/>
      <c r="K39" s="354"/>
      <c r="L39" s="354"/>
      <c r="M39" s="357" t="s">
        <v>350</v>
      </c>
    </row>
    <row r="40" spans="1:13" ht="15">
      <c r="A40" s="352" t="s">
        <v>351</v>
      </c>
      <c r="B40" s="352"/>
      <c r="C40" s="353"/>
      <c r="D40" s="353"/>
      <c r="E40" s="353"/>
      <c r="F40" s="353"/>
      <c r="G40" s="353"/>
      <c r="H40" s="353"/>
      <c r="I40" s="353"/>
      <c r="J40" s="353"/>
      <c r="K40" s="354"/>
      <c r="L40" s="354"/>
      <c r="M40" s="358"/>
    </row>
    <row r="41" spans="1:13" ht="15">
      <c r="A41" s="352" t="s">
        <v>352</v>
      </c>
      <c r="B41" s="352"/>
      <c r="C41" s="353"/>
      <c r="D41" s="353"/>
      <c r="E41" s="353"/>
      <c r="F41" s="353"/>
      <c r="G41" s="353"/>
      <c r="H41" s="353"/>
      <c r="I41" s="353"/>
      <c r="J41" s="353"/>
      <c r="K41" s="354"/>
      <c r="L41" s="354"/>
      <c r="M41" s="359"/>
    </row>
    <row r="42" spans="1:13" ht="15">
      <c r="A42" s="352" t="s">
        <v>356</v>
      </c>
      <c r="B42" s="352"/>
      <c r="C42" s="360"/>
      <c r="D42" s="360"/>
      <c r="E42" s="360"/>
      <c r="F42" s="360"/>
      <c r="G42" s="360"/>
      <c r="H42" s="360"/>
      <c r="I42" s="360"/>
      <c r="J42" s="360"/>
      <c r="K42" s="361"/>
      <c r="L42" s="361"/>
      <c r="M42" s="362"/>
    </row>
    <row r="47" spans="1:13" ht="12.75">
      <c r="A47" s="325" t="s">
        <v>346</v>
      </c>
      <c r="B47" s="326"/>
      <c r="C47" s="326"/>
      <c r="D47" s="326"/>
      <c r="E47" s="342"/>
      <c r="F47" s="342"/>
      <c r="G47" s="342"/>
      <c r="H47" s="342"/>
      <c r="I47" s="342"/>
      <c r="J47" s="342"/>
      <c r="K47" s="342"/>
      <c r="L47" s="342"/>
      <c r="M47" s="343" t="s">
        <v>335</v>
      </c>
    </row>
    <row r="48" spans="1:13" ht="12.75">
      <c r="A48" s="326"/>
      <c r="B48" s="326"/>
      <c r="C48" s="326"/>
      <c r="D48" s="326"/>
      <c r="E48" s="342"/>
      <c r="F48" s="342"/>
      <c r="G48" s="342"/>
      <c r="H48" s="342"/>
      <c r="I48" s="342"/>
      <c r="J48" s="342"/>
      <c r="K48" s="342"/>
      <c r="L48" s="342"/>
      <c r="M48" s="342"/>
    </row>
    <row r="49" spans="1:13" ht="12.75">
      <c r="A49" s="344"/>
      <c r="B49" s="344"/>
      <c r="C49" s="344"/>
      <c r="D49" s="344"/>
      <c r="E49" s="345"/>
      <c r="F49" s="345"/>
      <c r="G49" s="345"/>
      <c r="H49" s="345"/>
      <c r="I49" s="345"/>
      <c r="J49" s="345"/>
      <c r="K49" s="345"/>
      <c r="L49" s="345"/>
      <c r="M49" s="345"/>
    </row>
    <row r="50" spans="1:13" ht="12.75">
      <c r="A50" s="326"/>
      <c r="B50" s="326"/>
      <c r="C50" s="326"/>
      <c r="D50" s="326"/>
      <c r="E50" s="346"/>
      <c r="F50" s="346"/>
      <c r="G50" s="327"/>
      <c r="H50" s="347"/>
      <c r="I50" s="327" t="s">
        <v>23</v>
      </c>
      <c r="J50" s="346"/>
      <c r="K50" s="346"/>
      <c r="L50" s="346"/>
      <c r="M50" s="346"/>
    </row>
    <row r="51" spans="1:13" ht="12.75">
      <c r="A51" s="326"/>
      <c r="B51" s="326"/>
      <c r="C51" s="326"/>
      <c r="D51" s="326"/>
      <c r="E51" s="327" t="s">
        <v>360</v>
      </c>
      <c r="F51" s="347"/>
      <c r="G51" s="327" t="s">
        <v>359</v>
      </c>
      <c r="H51" s="347"/>
      <c r="I51" s="327" t="s">
        <v>338</v>
      </c>
      <c r="J51" s="347"/>
      <c r="K51" s="327" t="s">
        <v>339</v>
      </c>
      <c r="L51" s="347"/>
      <c r="M51" s="327" t="s">
        <v>340</v>
      </c>
    </row>
    <row r="52" spans="1:13" ht="15.75">
      <c r="A52" s="332"/>
      <c r="B52" s="332"/>
      <c r="C52" s="333"/>
      <c r="D52" s="324"/>
      <c r="E52" s="348"/>
      <c r="F52" s="349"/>
      <c r="G52" s="348"/>
      <c r="H52" s="349"/>
      <c r="I52" s="348"/>
      <c r="J52" s="349"/>
      <c r="K52" s="348"/>
      <c r="L52" s="349"/>
      <c r="M52" s="348"/>
    </row>
    <row r="53" spans="1:13" ht="15.75">
      <c r="A53" s="324"/>
      <c r="B53" s="324"/>
      <c r="C53" s="324"/>
      <c r="D53" s="324"/>
      <c r="E53" s="339"/>
      <c r="F53" s="339"/>
      <c r="G53" s="339"/>
      <c r="H53" s="339"/>
      <c r="I53" s="339"/>
      <c r="J53" s="339"/>
      <c r="K53" s="339"/>
      <c r="L53" s="339"/>
      <c r="M53" s="339"/>
    </row>
    <row r="54" spans="1:13" ht="15.75">
      <c r="A54" s="335" t="s">
        <v>341</v>
      </c>
      <c r="B54" s="324"/>
      <c r="C54" s="324"/>
      <c r="D54" s="324"/>
      <c r="E54" s="364">
        <f>+E29/$M$35</f>
        <v>0.019200157267605784</v>
      </c>
      <c r="F54" s="364"/>
      <c r="G54" s="364">
        <f aca="true" t="shared" si="0" ref="G54:M54">+G29/$M$35</f>
        <v>0.0952549531027161</v>
      </c>
      <c r="H54" s="364"/>
      <c r="I54" s="364">
        <f t="shared" si="0"/>
        <v>0.010849578146883565</v>
      </c>
      <c r="J54" s="364"/>
      <c r="K54" s="364">
        <f t="shared" si="0"/>
        <v>0.02141322366215974</v>
      </c>
      <c r="L54" s="364"/>
      <c r="M54" s="364">
        <f t="shared" si="0"/>
        <v>0.14671788888736195</v>
      </c>
    </row>
    <row r="55" spans="1:13" ht="15.75">
      <c r="A55" s="335" t="s">
        <v>354</v>
      </c>
      <c r="B55" s="324"/>
      <c r="C55" s="324"/>
      <c r="D55" s="363"/>
      <c r="E55" s="364">
        <f aca="true" t="shared" si="1" ref="E55:M58">+E30/$M$35</f>
        <v>0.040866937676888204</v>
      </c>
      <c r="F55" s="364"/>
      <c r="G55" s="364">
        <f t="shared" si="1"/>
        <v>0.2000062422568647</v>
      </c>
      <c r="H55" s="364"/>
      <c r="I55" s="364">
        <f t="shared" si="1"/>
        <v>0.019069163041460464</v>
      </c>
      <c r="J55" s="364"/>
      <c r="K55" s="364">
        <f t="shared" si="1"/>
        <v>0.04004980761969935</v>
      </c>
      <c r="L55" s="364"/>
      <c r="M55" s="364">
        <f t="shared" si="1"/>
        <v>0.29999210401090626</v>
      </c>
    </row>
    <row r="56" spans="1:13" ht="15.75">
      <c r="A56" s="335" t="s">
        <v>355</v>
      </c>
      <c r="B56" s="324"/>
      <c r="C56" s="324"/>
      <c r="D56" s="363"/>
      <c r="E56" s="364">
        <f t="shared" si="1"/>
        <v>0.023619977923839342</v>
      </c>
      <c r="F56" s="364"/>
      <c r="G56" s="364">
        <f t="shared" si="1"/>
        <v>0.271161262417258</v>
      </c>
      <c r="H56" s="364"/>
      <c r="I56" s="364">
        <f t="shared" si="1"/>
        <v>0.05145289693125527</v>
      </c>
      <c r="J56" s="364"/>
      <c r="K56" s="364">
        <f t="shared" si="1"/>
        <v>0.046989753149020604</v>
      </c>
      <c r="L56" s="364"/>
      <c r="M56" s="364">
        <f t="shared" si="1"/>
        <v>0.39322272582121187</v>
      </c>
    </row>
    <row r="57" spans="1:13" ht="15.75">
      <c r="A57" s="335" t="s">
        <v>344</v>
      </c>
      <c r="B57" s="324"/>
      <c r="C57" s="324"/>
      <c r="D57" s="324"/>
      <c r="E57" s="364">
        <f t="shared" si="1"/>
        <v>0.02202314805864647</v>
      </c>
      <c r="F57" s="364"/>
      <c r="G57" s="364">
        <f t="shared" si="1"/>
        <v>0.07129842902425838</v>
      </c>
      <c r="H57" s="364"/>
      <c r="I57" s="364">
        <f t="shared" si="1"/>
        <v>0.00942182493311119</v>
      </c>
      <c r="J57" s="364"/>
      <c r="K57" s="364">
        <f t="shared" si="1"/>
        <v>0.03820964619680019</v>
      </c>
      <c r="L57" s="364"/>
      <c r="M57" s="364">
        <f t="shared" si="1"/>
        <v>0.14095304821281623</v>
      </c>
    </row>
    <row r="58" spans="1:13" ht="15.75">
      <c r="A58" s="335" t="s">
        <v>345</v>
      </c>
      <c r="B58" s="324"/>
      <c r="C58" s="324"/>
      <c r="D58" s="324"/>
      <c r="E58" s="364">
        <f t="shared" si="1"/>
        <v>0.002239036978151402</v>
      </c>
      <c r="F58" s="364"/>
      <c r="G58" s="364">
        <f t="shared" si="1"/>
        <v>0.010478420075470748</v>
      </c>
      <c r="H58" s="364"/>
      <c r="I58" s="364">
        <f t="shared" si="1"/>
        <v>0.001013178848345534</v>
      </c>
      <c r="J58" s="364"/>
      <c r="K58" s="364">
        <f t="shared" si="1"/>
        <v>0.005383550581729427</v>
      </c>
      <c r="L58" s="364"/>
      <c r="M58" s="364">
        <f t="shared" si="1"/>
        <v>0.019114186483697112</v>
      </c>
    </row>
    <row r="59" spans="1:13" ht="15.75">
      <c r="A59" s="324"/>
      <c r="B59" s="324"/>
      <c r="C59" s="324"/>
      <c r="D59" s="324"/>
      <c r="E59" s="364"/>
      <c r="F59" s="337"/>
      <c r="G59" s="364"/>
      <c r="H59" s="337"/>
      <c r="I59" s="364"/>
      <c r="J59" s="337"/>
      <c r="K59" s="364"/>
      <c r="L59" s="337"/>
      <c r="M59" s="364"/>
    </row>
    <row r="60" spans="1:13" ht="15.75">
      <c r="A60" s="335" t="s">
        <v>182</v>
      </c>
      <c r="B60" s="324"/>
      <c r="C60" s="324"/>
      <c r="D60" s="324"/>
      <c r="E60" s="364">
        <f>+E35/$M$35</f>
        <v>0.10794923461312796</v>
      </c>
      <c r="F60" s="337"/>
      <c r="G60" s="364">
        <f>+G35/$M$35</f>
        <v>0.648199213708555</v>
      </c>
      <c r="H60" s="337"/>
      <c r="I60" s="364">
        <f>+I35/$M$35</f>
        <v>0.0918066186090528</v>
      </c>
      <c r="J60" s="337"/>
      <c r="K60" s="364">
        <f>+K35/$M$35</f>
        <v>0.15204481660924798</v>
      </c>
      <c r="L60" s="337">
        <f>SUM(E60:K60)</f>
        <v>0.9999998835399838</v>
      </c>
      <c r="M60" s="364">
        <f>+M35/$M$35</f>
        <v>1</v>
      </c>
    </row>
    <row r="61" spans="1:13" ht="15.75" thickBot="1">
      <c r="A61" s="350"/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</row>
    <row r="62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2" sqref="A2"/>
    </sheetView>
  </sheetViews>
  <sheetFormatPr defaultColWidth="9.140625" defaultRowHeight="12.75"/>
  <sheetData>
    <row r="1" spans="1:17" ht="12.75">
      <c r="A1" s="2" t="s">
        <v>358</v>
      </c>
      <c r="B1" s="5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2.75">
      <c r="A2" s="29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46"/>
    </row>
    <row r="3" spans="1:17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6"/>
    </row>
    <row r="4" spans="1:17" ht="12.75">
      <c r="A4" s="31" t="s">
        <v>189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46"/>
    </row>
    <row r="5" spans="1:17" ht="12.75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46"/>
    </row>
    <row r="6" spans="1:17" ht="12.75">
      <c r="A6" s="37"/>
      <c r="B6" s="37" t="s">
        <v>5</v>
      </c>
      <c r="C6" s="37" t="s">
        <v>7</v>
      </c>
      <c r="D6" s="37" t="s">
        <v>8</v>
      </c>
      <c r="E6" s="37" t="s">
        <v>9</v>
      </c>
      <c r="F6" s="37" t="s">
        <v>10</v>
      </c>
      <c r="G6" s="37" t="s">
        <v>11</v>
      </c>
      <c r="H6" s="37" t="s">
        <v>12</v>
      </c>
      <c r="I6" s="37" t="s">
        <v>13</v>
      </c>
      <c r="J6" s="37" t="s">
        <v>14</v>
      </c>
      <c r="K6" s="37" t="s">
        <v>15</v>
      </c>
      <c r="L6" s="37" t="s">
        <v>16</v>
      </c>
      <c r="M6" s="37" t="s">
        <v>17</v>
      </c>
      <c r="N6" s="37" t="s">
        <v>18</v>
      </c>
      <c r="O6" s="37" t="s">
        <v>19</v>
      </c>
      <c r="P6" s="37" t="s">
        <v>20</v>
      </c>
      <c r="Q6" s="37" t="s">
        <v>21</v>
      </c>
    </row>
    <row r="7" spans="1:17" ht="12.75">
      <c r="A7" s="53">
        <v>1991</v>
      </c>
      <c r="B7" s="28">
        <f>+country_split!T17/'[6]manip_POP_EU'!B7*1000</f>
        <v>11.176048825581455</v>
      </c>
      <c r="C7" s="28">
        <f>+country_split!U17/'[6]manip_POP_EU'!C7*1000</f>
        <v>10.916189114898296</v>
      </c>
      <c r="D7" s="28">
        <f>+country_split!V17/'[6]manip_POP_EU'!D7*1000</f>
        <v>12.948551693552856</v>
      </c>
      <c r="E7" s="28">
        <f>+country_split!W17/'[6]manip_POP_EU'!E7*1000</f>
        <v>11.210992088884446</v>
      </c>
      <c r="F7" s="28">
        <f>+country_split!X17/'[6]manip_POP_EU'!F7*1000</f>
        <v>3.374194008002342</v>
      </c>
      <c r="G7" s="28">
        <f>+country_split!Y17/'[6]manip_POP_EU'!G7*1000</f>
        <v>6.648927510535512</v>
      </c>
      <c r="H7" s="28">
        <f>+country_split!Z17/'[6]manip_POP_EU'!H7*1000</f>
        <v>13.257637418279145</v>
      </c>
      <c r="I7" s="28">
        <f>+country_split!AA17/'[6]manip_POP_EU'!I7*1000</f>
        <v>8.179397850072325</v>
      </c>
      <c r="J7" s="28">
        <f>+country_split!AB17/'[6]manip_POP_EU'!J7*1000</f>
        <v>12.197958379588027</v>
      </c>
      <c r="K7" s="28">
        <f>+country_split!AC17/'[6]manip_POP_EU'!K7*1000</f>
        <v>13.124156573638189</v>
      </c>
      <c r="L7" s="28">
        <f>+country_split!AD17/'[6]manip_POP_EU'!L7*1000</f>
        <v>11.653002322495025</v>
      </c>
      <c r="M7" s="28">
        <f>+country_split!AE17/'[6]manip_POP_EU'!M7*1000</f>
        <v>11.980438416028827</v>
      </c>
      <c r="N7" s="28">
        <f>+country_split!AF17/'[6]manip_POP_EU'!N7*1000</f>
        <v>6.820953693383323</v>
      </c>
      <c r="O7" s="28">
        <f>+country_split!AG17/'[6]manip_POP_EU'!O7*1000</f>
        <v>12.465853410450737</v>
      </c>
      <c r="P7" s="28">
        <f>+country_split!AH17/'[6]manip_POP_EU'!P7*1000</f>
        <v>13.155014292814412</v>
      </c>
      <c r="Q7" s="28">
        <f>+country_split!AI17/'[6]manip_POP_EU'!Q7*1000</f>
        <v>12.66341264184888</v>
      </c>
    </row>
    <row r="8" spans="1:17" ht="12.75">
      <c r="A8" s="53">
        <v>2000</v>
      </c>
      <c r="B8" s="28">
        <f>+country_split!T26/'[6]manip_POP_EU'!$B$16*1000</f>
        <v>13.131030991045602</v>
      </c>
      <c r="C8" s="28">
        <f>+country_split!U26/'[6]manip_POP_EU'!C16*1000</f>
        <v>14.268163870464297</v>
      </c>
      <c r="D8" s="28">
        <f>+country_split!V26/'[6]manip_POP_EU'!D16*1000</f>
        <v>14.75296680231313</v>
      </c>
      <c r="E8" s="28">
        <f>+country_split!W26/'[6]manip_POP_EU'!E16*1000</f>
        <v>11.799562493527622</v>
      </c>
      <c r="F8" s="28">
        <f>+country_split!X26/'[6]manip_POP_EU'!F16*1000</f>
        <v>4.859448863636365</v>
      </c>
      <c r="G8" s="28">
        <f>+country_split!Y26/'[6]manip_POP_EU'!G16*1000</f>
        <v>10.60446040795642</v>
      </c>
      <c r="H8" s="28">
        <f>+country_split!Z26/'[6]manip_POP_EU'!H16*1000</f>
        <v>15.44181077226109</v>
      </c>
      <c r="I8" s="28">
        <f>+country_split!AA26/'[6]manip_POP_EU'!I16*1000</f>
        <v>12.598161841282266</v>
      </c>
      <c r="J8" s="28">
        <f>+country_split!AB26/'[6]manip_POP_EU'!J16*1000</f>
        <v>14.65525245276478</v>
      </c>
      <c r="K8" s="28">
        <f>+country_split!AC26/'[6]manip_POP_EU'!K16*1000</f>
        <v>15.984213347582498</v>
      </c>
      <c r="L8" s="28">
        <f>+country_split!AD26/'[6]manip_POP_EU'!L16*1000</f>
        <v>14.085488598530057</v>
      </c>
      <c r="M8" s="28">
        <f>+country_split!AE26/'[6]manip_POP_EU'!M16*1000</f>
        <v>13.165056842120546</v>
      </c>
      <c r="N8" s="28">
        <f>+country_split!AF26/'[6]manip_POP_EU'!N16*1000</f>
        <v>10.72761870503597</v>
      </c>
      <c r="O8" s="28">
        <f>+country_split!AG26/'[6]manip_POP_EU'!O16*1000</f>
        <v>14.525838130191229</v>
      </c>
      <c r="P8" s="28">
        <f>+country_split!AH26/'[6]manip_POP_EU'!P16*1000</f>
        <v>14.415121241879305</v>
      </c>
      <c r="Q8" s="28">
        <f>+country_split!AI26/'[6]manip_POP_EU'!Q16*1000</f>
        <v>13.848362189461138</v>
      </c>
    </row>
    <row r="9" spans="1:17" ht="12.75">
      <c r="A9" s="53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2.75">
      <c r="A10" s="53"/>
      <c r="B10" s="135">
        <v>1991</v>
      </c>
      <c r="C10" s="135">
        <v>2000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2.75">
      <c r="A11" s="53" t="s">
        <v>37</v>
      </c>
      <c r="B11" s="28">
        <f>+$H$7</f>
        <v>13.257637418279145</v>
      </c>
      <c r="C11" s="28">
        <f>+$H$8</f>
        <v>15.44181077226109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53" t="s">
        <v>40</v>
      </c>
      <c r="B12" s="28">
        <f>+$K$7</f>
        <v>13.124156573638189</v>
      </c>
      <c r="C12" s="28">
        <f>+$K$8</f>
        <v>15.984213347582498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>
      <c r="A13" s="53" t="s">
        <v>34</v>
      </c>
      <c r="B13" s="28">
        <f>+$D$7</f>
        <v>12.948551693552856</v>
      </c>
      <c r="C13" s="28">
        <f>+$D$8</f>
        <v>14.75296680231313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53" t="s">
        <v>39</v>
      </c>
      <c r="B14" s="28">
        <f>+$J$7</f>
        <v>12.197958379588027</v>
      </c>
      <c r="C14" s="28">
        <f>+$J$8</f>
        <v>14.65525245276478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2.75">
      <c r="A15" s="53" t="s">
        <v>45</v>
      </c>
      <c r="B15" s="28">
        <f>+$P$7</f>
        <v>13.155014292814412</v>
      </c>
      <c r="C15" s="28">
        <f>+$P$8</f>
        <v>14.415121241879305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2.75">
      <c r="A16" s="53" t="s">
        <v>44</v>
      </c>
      <c r="B16" s="28">
        <f>+$O$7</f>
        <v>12.465853410450737</v>
      </c>
      <c r="C16" s="28">
        <f>+$O$8</f>
        <v>14.525838130191229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2.75">
      <c r="A17" s="53" t="s">
        <v>33</v>
      </c>
      <c r="B17" s="28">
        <f>+$C$7</f>
        <v>10.916189114898296</v>
      </c>
      <c r="C17" s="28">
        <f>+$C$8</f>
        <v>14.268163870464297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2.75">
      <c r="A18" s="53" t="s">
        <v>41</v>
      </c>
      <c r="B18" s="28">
        <f>+$L$7</f>
        <v>11.653002322495025</v>
      </c>
      <c r="C18" s="28">
        <f>+$L$8</f>
        <v>14.085488598530057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53" t="s">
        <v>46</v>
      </c>
      <c r="B19" s="28">
        <f>+$Q$7</f>
        <v>12.66341264184888</v>
      </c>
      <c r="C19" s="28">
        <f>+$Q$8</f>
        <v>13.848362189461138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2.75">
      <c r="A20" s="53" t="s">
        <v>42</v>
      </c>
      <c r="B20" s="28">
        <f>+$M$7</f>
        <v>11.980438416028827</v>
      </c>
      <c r="C20" s="28">
        <f>+$M$8</f>
        <v>13.165056842120546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53" t="s">
        <v>114</v>
      </c>
      <c r="B21" s="28">
        <f>+$B$7</f>
        <v>11.176048825581455</v>
      </c>
      <c r="C21" s="28">
        <f>+$B$8</f>
        <v>13.131030991045602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53" t="s">
        <v>38</v>
      </c>
      <c r="B22" s="28">
        <f>+$I$7</f>
        <v>8.179397850072325</v>
      </c>
      <c r="C22" s="28">
        <f>+$I$8</f>
        <v>12.598161841282266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53" t="s">
        <v>96</v>
      </c>
      <c r="B23" s="28">
        <f>+$E$7</f>
        <v>11.210992088884446</v>
      </c>
      <c r="C23" s="28">
        <f>+$E$8</f>
        <v>11.799562493527622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53" t="s">
        <v>43</v>
      </c>
      <c r="B24" s="28">
        <f>+$N$7</f>
        <v>6.820953693383323</v>
      </c>
      <c r="C24" s="28">
        <f>+$N$8</f>
        <v>10.72761870503597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53" t="s">
        <v>36</v>
      </c>
      <c r="B25" s="28">
        <f>+$G$7</f>
        <v>6.648927510535512</v>
      </c>
      <c r="C25" s="28">
        <f>+$G$8</f>
        <v>10.60446040795642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.75">
      <c r="A26" s="53" t="s">
        <v>35</v>
      </c>
      <c r="B26" s="28">
        <f>+$F$7</f>
        <v>3.374194008002342</v>
      </c>
      <c r="C26" s="28">
        <f>+$F$8</f>
        <v>4.859448863636365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4:17" ht="12.75">
      <c r="D27" s="53"/>
      <c r="E27" s="13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5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E18"/>
  <sheetViews>
    <sheetView workbookViewId="0" topLeftCell="A1">
      <selection activeCell="D23" sqref="D23"/>
    </sheetView>
  </sheetViews>
  <sheetFormatPr defaultColWidth="9.140625" defaultRowHeight="12.75"/>
  <cols>
    <col min="5" max="5" width="12.28125" style="0" customWidth="1"/>
  </cols>
  <sheetData>
    <row r="1" spans="1:5" ht="12.75">
      <c r="A1" s="52" t="s">
        <v>357</v>
      </c>
      <c r="B1" s="52"/>
      <c r="C1" s="30"/>
      <c r="D1" s="30"/>
      <c r="E1" s="30"/>
    </row>
    <row r="2" spans="1:5" ht="12.75">
      <c r="A2" s="29" t="s">
        <v>32</v>
      </c>
      <c r="B2" s="52"/>
      <c r="C2" s="30"/>
      <c r="D2" s="30"/>
      <c r="E2" s="30"/>
    </row>
    <row r="3" spans="1:5" ht="12.75">
      <c r="A3" s="29"/>
      <c r="B3" s="52"/>
      <c r="C3" s="30"/>
      <c r="D3" s="30"/>
      <c r="E3" s="30"/>
    </row>
    <row r="4" spans="1:5" ht="12.75">
      <c r="A4" s="46"/>
      <c r="B4" s="373"/>
      <c r="C4" s="373"/>
      <c r="D4" s="373"/>
      <c r="E4" s="373"/>
    </row>
    <row r="5" spans="1:5" ht="33.75">
      <c r="A5" s="45"/>
      <c r="B5" s="45" t="s">
        <v>48</v>
      </c>
      <c r="C5" s="45" t="s">
        <v>144</v>
      </c>
      <c r="D5" s="45" t="s">
        <v>0</v>
      </c>
      <c r="E5" s="45" t="s">
        <v>154</v>
      </c>
    </row>
    <row r="6" spans="1:5" ht="12.75">
      <c r="A6" s="25">
        <v>1991</v>
      </c>
      <c r="B6" s="79">
        <f>+'EU-15_shares'!C35</f>
        <v>0.8161209146739917</v>
      </c>
      <c r="C6" s="79">
        <f>+'EU-15_shares'!D35</f>
        <v>0.09397809514700187</v>
      </c>
      <c r="D6" s="79">
        <f>+'EU-15_shares'!E35</f>
        <v>0.06869859681774275</v>
      </c>
      <c r="E6" s="79">
        <f>+'EU-15_shares'!F35+'EU-15_shares'!G35</f>
        <v>0.0212023933612637</v>
      </c>
    </row>
    <row r="7" spans="1:5" ht="12.75">
      <c r="A7" s="25">
        <v>1992</v>
      </c>
      <c r="B7" s="79">
        <f>+'EU-15_shares'!C36</f>
        <v>0.819306431253151</v>
      </c>
      <c r="C7" s="79">
        <f>+'EU-15_shares'!D36</f>
        <v>0.09130907543643536</v>
      </c>
      <c r="D7" s="79">
        <f>+'EU-15_shares'!E36</f>
        <v>0.06643237078467545</v>
      </c>
      <c r="E7" s="79">
        <f>+'EU-15_shares'!F36+'EU-15_shares'!G36</f>
        <v>0.022952122525738215</v>
      </c>
    </row>
    <row r="8" spans="1:5" ht="12.75">
      <c r="A8" s="25">
        <v>1993</v>
      </c>
      <c r="B8" s="79">
        <f>+'EU-15_shares'!C37</f>
        <v>0.821770654733394</v>
      </c>
      <c r="C8" s="79">
        <f>+'EU-15_shares'!D37</f>
        <v>0.08985740462604108</v>
      </c>
      <c r="D8" s="79">
        <f>+'EU-15_shares'!E37</f>
        <v>0.0641479912806985</v>
      </c>
      <c r="E8" s="79">
        <f>+'EU-15_shares'!F37+'EU-15_shares'!G37</f>
        <v>0.024223949359866364</v>
      </c>
    </row>
    <row r="9" spans="1:5" ht="12.75">
      <c r="A9" s="25">
        <v>1994</v>
      </c>
      <c r="B9" s="79">
        <f>+'EU-15_shares'!C38</f>
        <v>0.8210502960374904</v>
      </c>
      <c r="C9" s="79">
        <f>+'EU-15_shares'!D38</f>
        <v>0.08985652967071912</v>
      </c>
      <c r="D9" s="79">
        <f>+'EU-15_shares'!E38</f>
        <v>0.06352610331780265</v>
      </c>
      <c r="E9" s="79">
        <f>+'EU-15_shares'!F38+'EU-15_shares'!G38</f>
        <v>0.025567070973987867</v>
      </c>
    </row>
    <row r="10" spans="1:5" ht="12.75">
      <c r="A10" s="25">
        <v>1995</v>
      </c>
      <c r="B10" s="79">
        <f>+'EU-15_shares'!C39</f>
        <v>0.819879518237941</v>
      </c>
      <c r="C10" s="79">
        <f>+'EU-15_shares'!D39</f>
        <v>0.08906896309958158</v>
      </c>
      <c r="D10" s="79">
        <f>+'EU-15_shares'!E39</f>
        <v>0.06552029197914794</v>
      </c>
      <c r="E10" s="79">
        <f>+'EU-15_shares'!F39+'EU-15_shares'!G39</f>
        <v>0.025531226683329605</v>
      </c>
    </row>
    <row r="11" spans="1:5" ht="12.75">
      <c r="A11" s="25">
        <v>1996</v>
      </c>
      <c r="B11" s="79">
        <f>+'EU-15_shares'!C40</f>
        <v>0.8184296449967623</v>
      </c>
      <c r="C11" s="79">
        <f>+'EU-15_shares'!D40</f>
        <v>0.08829242834117033</v>
      </c>
      <c r="D11" s="79">
        <f>+'EU-15_shares'!E40</f>
        <v>0.0664799020862238</v>
      </c>
      <c r="E11" s="79">
        <f>+'EU-15_shares'!F40+'EU-15_shares'!G40</f>
        <v>0.026798024575843776</v>
      </c>
    </row>
    <row r="12" spans="1:5" ht="12.75">
      <c r="A12" s="25">
        <v>1997</v>
      </c>
      <c r="B12" s="79">
        <f>+'EU-15_shares'!C41</f>
        <v>0.8162926589665112</v>
      </c>
      <c r="C12" s="79">
        <f>+'EU-15_shares'!D41</f>
        <v>0.08810342833535006</v>
      </c>
      <c r="D12" s="79">
        <f>+'EU-15_shares'!E41</f>
        <v>0.06563222033125327</v>
      </c>
      <c r="E12" s="79">
        <f>+'EU-15_shares'!F41+'EU-15_shares'!G41</f>
        <v>0.029971692366885662</v>
      </c>
    </row>
    <row r="13" spans="1:5" ht="12.75">
      <c r="A13" s="25">
        <v>1998</v>
      </c>
      <c r="B13" s="79">
        <f>+'EU-15_shares'!C42</f>
        <v>0.8183463258407236</v>
      </c>
      <c r="C13" s="79">
        <f>+'EU-15_shares'!D42</f>
        <v>0.08593297357249356</v>
      </c>
      <c r="D13" s="79">
        <f>+'EU-15_shares'!E42</f>
        <v>0.0641951361721376</v>
      </c>
      <c r="E13" s="79">
        <f>+'EU-15_shares'!F42+'EU-15_shares'!G42</f>
        <v>0.03152556441464519</v>
      </c>
    </row>
    <row r="14" spans="1:5" ht="12.75">
      <c r="A14" s="25">
        <v>1999</v>
      </c>
      <c r="B14" s="79">
        <f>+'EU-15_shares'!C43</f>
        <v>0.8177184768838884</v>
      </c>
      <c r="C14" s="79">
        <f>+'EU-15_shares'!D43</f>
        <v>0.08560685357664365</v>
      </c>
      <c r="D14" s="79">
        <f>+'EU-15_shares'!E43</f>
        <v>0.0645306239192751</v>
      </c>
      <c r="E14" s="79">
        <f>+'EU-15_shares'!F43+'EU-15_shares'!G43</f>
        <v>0.032144045620192935</v>
      </c>
    </row>
    <row r="15" spans="1:5" ht="12.75">
      <c r="A15" s="25">
        <v>2000</v>
      </c>
      <c r="B15" s="79">
        <f>+'EU-15_shares'!C44</f>
        <v>0.8114773735317653</v>
      </c>
      <c r="C15" s="79">
        <f>+'EU-15_shares'!D44</f>
        <v>0.0877365467958037</v>
      </c>
      <c r="D15" s="79">
        <f>+'EU-15_shares'!E44</f>
        <v>0.06636052151637248</v>
      </c>
      <c r="E15" s="79">
        <f>+'EU-15_shares'!F44+'EU-15_shares'!G44</f>
        <v>0.03442555815605848</v>
      </c>
    </row>
    <row r="16" spans="1:5" ht="12.75">
      <c r="A16" s="25">
        <v>2001</v>
      </c>
      <c r="B16" s="79" t="e">
        <f>+'EU-15_shares'!C45</f>
        <v>#N/A</v>
      </c>
      <c r="C16" s="49" t="e">
        <f>+'EU-15_shares'!D27</f>
        <v>#N/A</v>
      </c>
      <c r="D16" s="79">
        <f>+'EU-15_shares'!E45</f>
        <v>0</v>
      </c>
      <c r="E16" s="79">
        <f>+'EU-15_shares'!F45+'EU-15_shares'!G45</f>
        <v>0</v>
      </c>
    </row>
    <row r="17" spans="1:5" ht="12.75">
      <c r="A17" s="25"/>
      <c r="B17" s="39"/>
      <c r="C17" s="39"/>
      <c r="D17" s="39"/>
      <c r="E17" s="39"/>
    </row>
    <row r="18" spans="1:5" ht="12.75">
      <c r="A18" s="30" t="s">
        <v>51</v>
      </c>
      <c r="B18" s="39"/>
      <c r="C18" s="39"/>
      <c r="D18" s="39"/>
      <c r="E18" s="39"/>
    </row>
  </sheetData>
  <mergeCells count="1">
    <mergeCell ref="B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29"/>
  <sheetViews>
    <sheetView workbookViewId="0" topLeftCell="A1">
      <selection activeCell="A11" sqref="A11:C27"/>
    </sheetView>
  </sheetViews>
  <sheetFormatPr defaultColWidth="9.140625" defaultRowHeight="12.75"/>
  <cols>
    <col min="1" max="1" width="10.57421875" style="6" customWidth="1"/>
    <col min="2" max="2" width="8.8515625" style="6" customWidth="1"/>
    <col min="3" max="17" width="5.421875" style="6" customWidth="1"/>
    <col min="18" max="16384" width="9.140625" style="6" customWidth="1"/>
  </cols>
  <sheetData>
    <row r="1" ht="11.25">
      <c r="A1" s="2"/>
    </row>
    <row r="4" spans="1:17" ht="11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1.25">
      <c r="A5" s="31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11.25">
      <c r="A6" s="31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1.25">
      <c r="A7" s="31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9" ht="11.25">
      <c r="A9" s="2" t="s">
        <v>376</v>
      </c>
    </row>
    <row r="10" ht="11.25">
      <c r="A10" s="2"/>
    </row>
    <row r="11" spans="2:3" ht="11.25">
      <c r="B11" s="6">
        <v>1991</v>
      </c>
      <c r="C11" s="6">
        <v>2000</v>
      </c>
    </row>
    <row r="12" spans="1:5" ht="12.75">
      <c r="A12" s="148" t="s">
        <v>46</v>
      </c>
      <c r="B12" s="77">
        <f>+country_split!$Q$84</f>
        <v>0.8771918533763747</v>
      </c>
      <c r="C12" s="77">
        <f>+country_split!$Q$93</f>
        <v>0.8728527961824374</v>
      </c>
      <c r="D12" s="115"/>
      <c r="E12" s="116"/>
    </row>
    <row r="13" spans="1:5" ht="12.75">
      <c r="A13" s="148" t="s">
        <v>41</v>
      </c>
      <c r="B13" s="77">
        <f>+country_split!$L$84</f>
        <v>0.8418015526877507</v>
      </c>
      <c r="C13" s="77">
        <f>+country_split!$L$93</f>
        <v>0.8603658536585366</v>
      </c>
      <c r="D13" s="115"/>
      <c r="E13" s="116"/>
    </row>
    <row r="14" spans="1:5" ht="12.75">
      <c r="A14" s="148" t="s">
        <v>37</v>
      </c>
      <c r="B14" s="77">
        <f>+country_split!$H$84</f>
        <v>0.8406210590889169</v>
      </c>
      <c r="C14" s="77">
        <f>+country_split!$H$93</f>
        <v>0.8489060245377767</v>
      </c>
      <c r="D14" s="115"/>
      <c r="E14" s="116"/>
    </row>
    <row r="15" spans="1:5" ht="12.75">
      <c r="A15" s="148" t="s">
        <v>33</v>
      </c>
      <c r="B15" s="77">
        <f>+country_split!$C$84</f>
        <v>0.8218417582853347</v>
      </c>
      <c r="C15" s="77">
        <f>+country_split!$C$93</f>
        <v>0.8353272675754809</v>
      </c>
      <c r="D15" s="115"/>
      <c r="E15" s="116"/>
    </row>
    <row r="16" spans="1:5" ht="12.75">
      <c r="A16" s="76" t="s">
        <v>5</v>
      </c>
      <c r="B16" s="77">
        <f>+country_split!$B$84</f>
        <v>0.827592509178651</v>
      </c>
      <c r="C16" s="77">
        <f>+country_split!$B$93</f>
        <v>0.8310575511876931</v>
      </c>
      <c r="D16" s="115"/>
      <c r="E16" s="116"/>
    </row>
    <row r="17" spans="1:5" ht="12.75">
      <c r="A17" s="148" t="s">
        <v>43</v>
      </c>
      <c r="B17" s="77">
        <f>+country_split!$N$84</f>
        <v>0.7150317922665802</v>
      </c>
      <c r="C17" s="77">
        <f>+country_split!$N$93</f>
        <v>0.8281312529838789</v>
      </c>
      <c r="D17" s="115"/>
      <c r="E17" s="116"/>
    </row>
    <row r="18" spans="1:5" ht="12.75">
      <c r="A18" s="148" t="s">
        <v>39</v>
      </c>
      <c r="B18" s="77">
        <f>+country_split!$J$84</f>
        <v>0.8027442101601269</v>
      </c>
      <c r="C18" s="77">
        <f>+country_split!$J$93</f>
        <v>0.8211050139786006</v>
      </c>
      <c r="D18" s="115"/>
      <c r="E18" s="116"/>
    </row>
    <row r="19" spans="1:5" ht="12.75">
      <c r="A19" s="148" t="s">
        <v>96</v>
      </c>
      <c r="B19" s="77">
        <f>+country_split!$E$84</f>
        <v>0.8306151416231867</v>
      </c>
      <c r="C19" s="77">
        <f>+country_split!$E$93</f>
        <v>0.8184471977696393</v>
      </c>
      <c r="D19" s="115"/>
      <c r="E19" s="116"/>
    </row>
    <row r="20" spans="1:5" ht="12.75">
      <c r="A20" s="148" t="s">
        <v>45</v>
      </c>
      <c r="B20" s="77">
        <f>+country_split!$P$84</f>
        <v>0.8459277347483404</v>
      </c>
      <c r="C20" s="77">
        <f>+country_split!$P$93</f>
        <v>0.8183420533738835</v>
      </c>
      <c r="D20" s="115"/>
      <c r="E20" s="116"/>
    </row>
    <row r="21" spans="1:5" ht="12.75">
      <c r="A21" s="148" t="s">
        <v>44</v>
      </c>
      <c r="B21" s="77">
        <f>+country_split!$O$84</f>
        <v>0.7936465039632038</v>
      </c>
      <c r="C21" s="77">
        <f>+country_split!$O$93</f>
        <v>0.8180505362247832</v>
      </c>
      <c r="D21" s="115"/>
      <c r="E21" s="116"/>
    </row>
    <row r="22" spans="1:5" ht="12.75">
      <c r="A22" s="148" t="s">
        <v>40</v>
      </c>
      <c r="B22" s="77">
        <f>+country_split!$K$84</f>
        <v>0.8606044702679961</v>
      </c>
      <c r="C22" s="77">
        <f>+country_split!$K$93</f>
        <v>0.8145213868106659</v>
      </c>
      <c r="D22" s="115"/>
      <c r="E22" s="116"/>
    </row>
    <row r="23" spans="1:5" ht="12.75">
      <c r="A23" s="148" t="s">
        <v>38</v>
      </c>
      <c r="B23" s="77">
        <f>+country_split!$I$84</f>
        <v>0.7788610301386361</v>
      </c>
      <c r="C23" s="77">
        <f>+country_split!$I$93</f>
        <v>0.8069720656081799</v>
      </c>
      <c r="D23" s="115"/>
      <c r="E23" s="116"/>
    </row>
    <row r="24" spans="1:5" ht="12.75">
      <c r="A24" s="148" t="s">
        <v>34</v>
      </c>
      <c r="B24" s="77">
        <f>+country_split!$D$84</f>
        <v>0.8117762810500172</v>
      </c>
      <c r="C24" s="77">
        <f>+country_split!$D$93</f>
        <v>0.8010514850763447</v>
      </c>
      <c r="D24" s="115"/>
      <c r="E24" s="116"/>
    </row>
    <row r="25" spans="1:5" ht="12.75">
      <c r="A25" s="148" t="s">
        <v>35</v>
      </c>
      <c r="B25" s="77">
        <f>+country_split!$F$84</f>
        <v>0.7092833916847259</v>
      </c>
      <c r="C25" s="77">
        <f>+country_split!$F$93</f>
        <v>0.7950984311240431</v>
      </c>
      <c r="D25" s="115"/>
      <c r="E25" s="116"/>
    </row>
    <row r="26" spans="1:5" ht="12.75">
      <c r="A26" s="148" t="s">
        <v>36</v>
      </c>
      <c r="B26" s="77">
        <f>+country_split!$G$84</f>
        <v>0.7675577738868408</v>
      </c>
      <c r="C26" s="77">
        <f>+country_split!$G$93</f>
        <v>0.7875743195820593</v>
      </c>
      <c r="D26" s="115"/>
      <c r="E26" s="116"/>
    </row>
    <row r="27" spans="1:5" ht="12.75">
      <c r="A27" s="148" t="s">
        <v>42</v>
      </c>
      <c r="B27" s="77">
        <f>+country_split!$M$84</f>
        <v>0.7929708361771588</v>
      </c>
      <c r="C27" s="77">
        <f>+country_split!$M$93</f>
        <v>0.7666038786943521</v>
      </c>
      <c r="D27" s="115"/>
      <c r="E27" s="116"/>
    </row>
    <row r="29" spans="1:2" ht="11.25">
      <c r="A29" s="6" t="s">
        <v>51</v>
      </c>
      <c r="B29" s="6" t="s">
        <v>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24"/>
  <sheetViews>
    <sheetView workbookViewId="0" topLeftCell="A1">
      <selection activeCell="H17" sqref="H17"/>
    </sheetView>
  </sheetViews>
  <sheetFormatPr defaultColWidth="9.140625" defaultRowHeight="12.75"/>
  <cols>
    <col min="1" max="16384" width="9.140625" style="6" customWidth="1"/>
  </cols>
  <sheetData>
    <row r="5" ht="11.25">
      <c r="A5" s="2" t="s">
        <v>242</v>
      </c>
    </row>
    <row r="8" spans="3:5" ht="11.25">
      <c r="C8" s="6">
        <v>1991</v>
      </c>
      <c r="D8" s="6">
        <v>2000</v>
      </c>
      <c r="E8" s="6" t="s">
        <v>246</v>
      </c>
    </row>
    <row r="9" spans="2:5" ht="11.25">
      <c r="B9" s="120" t="s">
        <v>36</v>
      </c>
      <c r="C9" s="296">
        <f>+country_split!$G$115</f>
        <v>0.020594601422171007</v>
      </c>
      <c r="D9" s="296">
        <f>+country_split!$G$124</f>
        <v>0.0333019785523929</v>
      </c>
      <c r="E9" s="296">
        <f>+C9-D9</f>
        <v>-0.012707377130221891</v>
      </c>
    </row>
    <row r="10" spans="2:5" ht="11.25">
      <c r="B10" s="120" t="s">
        <v>45</v>
      </c>
      <c r="C10" s="296">
        <f>+country_split!$P$115</f>
        <v>0.020760141269356013</v>
      </c>
      <c r="D10" s="296">
        <f>+country_split!$P$124</f>
        <v>0.03096809468259095</v>
      </c>
      <c r="E10" s="296">
        <f aca="true" t="shared" si="0" ref="E10:E24">+C10-D10</f>
        <v>-0.010207953413234938</v>
      </c>
    </row>
    <row r="11" spans="2:5" ht="11.25">
      <c r="B11" s="120" t="s">
        <v>35</v>
      </c>
      <c r="C11" s="296">
        <f>+country_split!$F$115</f>
        <v>0.03480340088733449</v>
      </c>
      <c r="D11" s="296">
        <f>+country_split!$F$124</f>
        <v>0.025049527685023953</v>
      </c>
      <c r="E11" s="296">
        <f t="shared" si="0"/>
        <v>0.009753873202310536</v>
      </c>
    </row>
    <row r="12" spans="2:5" ht="11.25">
      <c r="B12" s="120" t="s">
        <v>34</v>
      </c>
      <c r="C12" s="296">
        <f>+country_split!$D$115</f>
        <v>0.01345013062206185</v>
      </c>
      <c r="D12" s="296">
        <f>+country_split!$D$124</f>
        <v>0.01904929263078428</v>
      </c>
      <c r="E12" s="296">
        <f t="shared" si="0"/>
        <v>-0.005599162008722432</v>
      </c>
    </row>
    <row r="13" spans="2:5" ht="11.25">
      <c r="B13" s="120" t="s">
        <v>44</v>
      </c>
      <c r="C13" s="296">
        <f>+country_split!$O$115</f>
        <v>0.012560071685436295</v>
      </c>
      <c r="D13" s="296">
        <f>+country_split!$O$124</f>
        <v>0.018779958255336425</v>
      </c>
      <c r="E13" s="296">
        <f t="shared" si="0"/>
        <v>-0.00621988656990013</v>
      </c>
    </row>
    <row r="14" spans="2:5" ht="11.25">
      <c r="B14" s="120" t="s">
        <v>43</v>
      </c>
      <c r="C14" s="296">
        <f>+country_split!$N$115</f>
        <v>0.013655220342839867</v>
      </c>
      <c r="D14" s="296">
        <f>+country_split!$N$124</f>
        <v>0.012419647017085443</v>
      </c>
      <c r="E14" s="296">
        <f t="shared" si="0"/>
        <v>0.0012355733257544237</v>
      </c>
    </row>
    <row r="15" spans="2:5" ht="11.25">
      <c r="B15" s="120" t="s">
        <v>37</v>
      </c>
      <c r="C15" s="296">
        <f>+country_split!$H$115</f>
        <v>0.011767229949285082</v>
      </c>
      <c r="D15" s="296">
        <f>+country_split!$H$124</f>
        <v>0.011308420821354439</v>
      </c>
      <c r="E15" s="296">
        <f t="shared" si="0"/>
        <v>0.00045880912793064277</v>
      </c>
    </row>
    <row r="16" spans="2:5" ht="11.25">
      <c r="B16" s="120" t="s">
        <v>5</v>
      </c>
      <c r="C16" s="296">
        <f>+country_split!$B$115</f>
        <v>0.007444175622197597</v>
      </c>
      <c r="D16" s="296">
        <f>+country_split!$B$124</f>
        <v>0.011127164722063885</v>
      </c>
      <c r="E16" s="296">
        <f t="shared" si="0"/>
        <v>-0.0036829890998662873</v>
      </c>
    </row>
    <row r="17" spans="2:5" ht="11.25">
      <c r="B17" s="120" t="s">
        <v>39</v>
      </c>
      <c r="C17" s="296">
        <f>+country_split!$J$115</f>
        <v>0.002730897728671076</v>
      </c>
      <c r="D17" s="296">
        <f>+country_split!$J$124</f>
        <v>0.00891346260614907</v>
      </c>
      <c r="E17" s="296">
        <f t="shared" si="0"/>
        <v>-0.0061825648774779945</v>
      </c>
    </row>
    <row r="18" spans="2:5" ht="11.25">
      <c r="B18" s="120" t="s">
        <v>46</v>
      </c>
      <c r="C18" s="296">
        <f>+country_split!$Q$115</f>
        <v>0.0053970720909453694</v>
      </c>
      <c r="D18" s="296">
        <f>+country_split!$Q$124</f>
        <v>0.007396926233642477</v>
      </c>
      <c r="E18" s="296">
        <f t="shared" si="0"/>
        <v>-0.0019998541426971073</v>
      </c>
    </row>
    <row r="19" spans="2:5" ht="11.25">
      <c r="B19" s="120" t="s">
        <v>96</v>
      </c>
      <c r="C19" s="296">
        <f>+country_split!$E$115</f>
        <v>0.004838325485998183</v>
      </c>
      <c r="D19" s="296">
        <f>+country_split!$E$124</f>
        <v>0.007010732419621951</v>
      </c>
      <c r="E19" s="296">
        <f t="shared" si="0"/>
        <v>-0.0021724069336237686</v>
      </c>
    </row>
    <row r="20" spans="2:5" ht="11.25">
      <c r="B20" s="120" t="s">
        <v>38</v>
      </c>
      <c r="C20" s="296">
        <f>+country_split!$I$115</f>
        <v>0.0024899619214031055</v>
      </c>
      <c r="D20" s="296">
        <f>+country_split!$I$124</f>
        <v>0.0020104385941050727</v>
      </c>
      <c r="E20" s="296">
        <f t="shared" si="0"/>
        <v>0.0004795233272980328</v>
      </c>
    </row>
    <row r="21" spans="2:5" ht="11.25">
      <c r="B21" s="120" t="s">
        <v>41</v>
      </c>
      <c r="C21" s="296">
        <f>+country_split!L115</f>
        <v>1.4131447751946979E-05</v>
      </c>
      <c r="D21" s="296">
        <f>+country_split!L124</f>
        <v>0</v>
      </c>
      <c r="E21" s="296">
        <f t="shared" si="0"/>
        <v>1.4131447751946979E-05</v>
      </c>
    </row>
    <row r="22" spans="2:5" ht="11.25">
      <c r="B22" s="120" t="s">
        <v>42</v>
      </c>
      <c r="C22" s="296">
        <f>+country_split!M115</f>
        <v>6.983549977696569E-07</v>
      </c>
      <c r="D22" s="296">
        <f>+country_split!M124</f>
        <v>0</v>
      </c>
      <c r="E22" s="296">
        <f t="shared" si="0"/>
        <v>6.983549977696569E-07</v>
      </c>
    </row>
    <row r="23" spans="2:5" ht="11.25">
      <c r="B23" s="120" t="s">
        <v>33</v>
      </c>
      <c r="C23" s="296">
        <f>+country_split!C115</f>
        <v>0</v>
      </c>
      <c r="D23" s="296">
        <f>+country_split!C124</f>
        <v>0</v>
      </c>
      <c r="E23" s="296">
        <f t="shared" si="0"/>
        <v>0</v>
      </c>
    </row>
    <row r="24" spans="2:5" ht="11.25">
      <c r="B24" s="120" t="s">
        <v>40</v>
      </c>
      <c r="C24" s="296">
        <f>+country_split!K115</f>
        <v>0</v>
      </c>
      <c r="D24" s="296">
        <f>+country_split!K124</f>
        <v>0</v>
      </c>
      <c r="E24" s="296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C45"/>
  <sheetViews>
    <sheetView workbookViewId="0" topLeftCell="A4">
      <selection activeCell="D46" sqref="D46"/>
    </sheetView>
  </sheetViews>
  <sheetFormatPr defaultColWidth="9.140625" defaultRowHeight="12.75" outlineLevelRow="1"/>
  <cols>
    <col min="1" max="1" width="9.7109375" style="6" bestFit="1" customWidth="1"/>
    <col min="2" max="7" width="9.28125" style="6" bestFit="1" customWidth="1"/>
    <col min="8" max="8" width="9.140625" style="6" customWidth="1"/>
    <col min="9" max="9" width="6.00390625" style="6" customWidth="1"/>
    <col min="10" max="16384" width="9.140625" style="6" customWidth="1"/>
  </cols>
  <sheetData>
    <row r="1" spans="1:19" ht="11.25">
      <c r="A1" s="52" t="s">
        <v>126</v>
      </c>
      <c r="B1" s="52"/>
      <c r="C1" s="5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1.25">
      <c r="A2" s="29" t="s">
        <v>32</v>
      </c>
      <c r="B2" s="52"/>
      <c r="C2" s="52"/>
      <c r="D2" s="30"/>
      <c r="E2" s="30"/>
      <c r="F2" s="30"/>
      <c r="G2" s="30"/>
      <c r="H2" s="104"/>
      <c r="I2" s="30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9"/>
      <c r="U2" s="109"/>
      <c r="V2" s="109"/>
      <c r="W2" s="109"/>
    </row>
    <row r="3" spans="1:23" ht="11.25">
      <c r="A3" s="29"/>
      <c r="B3" s="52"/>
      <c r="C3" s="52"/>
      <c r="D3" s="30"/>
      <c r="E3" s="30"/>
      <c r="F3" s="30"/>
      <c r="G3" s="30"/>
      <c r="H3" s="104"/>
      <c r="I3" s="30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9"/>
      <c r="U3" s="109"/>
      <c r="V3" s="109"/>
      <c r="W3" s="109"/>
    </row>
    <row r="4" spans="1:29" ht="11.25">
      <c r="A4" s="46"/>
      <c r="B4" s="373" t="s">
        <v>125</v>
      </c>
      <c r="C4" s="373"/>
      <c r="D4" s="373"/>
      <c r="E4" s="373"/>
      <c r="F4" s="373"/>
      <c r="G4" s="373"/>
      <c r="H4" s="230"/>
      <c r="I4" s="108"/>
      <c r="J4" s="230"/>
      <c r="K4" s="292"/>
      <c r="L4" s="230"/>
      <c r="M4" s="230" t="s">
        <v>228</v>
      </c>
      <c r="N4" s="230"/>
      <c r="O4" s="230"/>
      <c r="P4" s="230"/>
      <c r="Q4" s="230"/>
      <c r="R4" s="230"/>
      <c r="S4" s="230"/>
      <c r="T4" s="109"/>
      <c r="U4" s="374" t="s">
        <v>227</v>
      </c>
      <c r="V4" s="374"/>
      <c r="W4" s="109"/>
      <c r="X4" s="374" t="s">
        <v>187</v>
      </c>
      <c r="Y4" s="374"/>
      <c r="Z4" s="374"/>
      <c r="AA4" s="374"/>
      <c r="AB4" s="374"/>
      <c r="AC4" s="374"/>
    </row>
    <row r="5" spans="1:29" ht="22.5">
      <c r="A5" s="45"/>
      <c r="B5" s="45" t="s">
        <v>226</v>
      </c>
      <c r="C5" s="45" t="s">
        <v>48</v>
      </c>
      <c r="D5" s="45" t="s">
        <v>144</v>
      </c>
      <c r="E5" s="45" t="s">
        <v>0</v>
      </c>
      <c r="F5" s="45" t="s">
        <v>140</v>
      </c>
      <c r="G5" s="45" t="s">
        <v>141</v>
      </c>
      <c r="H5" s="45" t="s">
        <v>145</v>
      </c>
      <c r="I5" s="45"/>
      <c r="J5" s="45" t="s">
        <v>48</v>
      </c>
      <c r="K5" s="45" t="s">
        <v>144</v>
      </c>
      <c r="L5" s="45" t="s">
        <v>143</v>
      </c>
      <c r="M5" s="45" t="s">
        <v>0</v>
      </c>
      <c r="N5" s="45" t="s">
        <v>52</v>
      </c>
      <c r="O5" s="45" t="s">
        <v>140</v>
      </c>
      <c r="P5" s="45" t="s">
        <v>141</v>
      </c>
      <c r="Q5" s="45" t="s">
        <v>145</v>
      </c>
      <c r="R5" s="134" t="s">
        <v>2</v>
      </c>
      <c r="S5" s="134" t="s">
        <v>1</v>
      </c>
      <c r="U5" s="6" t="s">
        <v>228</v>
      </c>
      <c r="V5" s="55" t="s">
        <v>158</v>
      </c>
      <c r="W5" s="109"/>
      <c r="X5" s="6" t="s">
        <v>183</v>
      </c>
      <c r="Y5" s="6" t="s">
        <v>184</v>
      </c>
      <c r="Z5" s="6" t="s">
        <v>188</v>
      </c>
      <c r="AA5" s="6" t="s">
        <v>185</v>
      </c>
      <c r="AB5" s="6" t="s">
        <v>186</v>
      </c>
      <c r="AC5" s="6" t="s">
        <v>182</v>
      </c>
    </row>
    <row r="6" spans="1:29" ht="11.25" hidden="1" outlineLevel="1">
      <c r="A6" s="25">
        <v>1980</v>
      </c>
      <c r="B6" s="49" t="e">
        <f>SUM(C6:G6)</f>
        <v>#REF!</v>
      </c>
      <c r="C6" s="49" t="e">
        <f>+'EU-15_totals'!C6/'EU-15_totals'!$B6</f>
        <v>#REF!</v>
      </c>
      <c r="D6" s="49" t="e">
        <f>+'EU-15_totals'!D6/'EU-15_totals'!$B6</f>
        <v>#REF!</v>
      </c>
      <c r="E6" s="49" t="e">
        <f>+'EU-15_totals'!F6/'EU-15_totals'!$B6</f>
        <v>#REF!</v>
      </c>
      <c r="F6" s="49" t="e">
        <f>+'EU-15_totals'!G6/'EU-15_totals'!$B6</f>
        <v>#REF!</v>
      </c>
      <c r="G6" s="49" t="e">
        <f>+'EU-15_totals'!H6/'EU-15_totals'!$B6</f>
        <v>#REF!</v>
      </c>
      <c r="H6" s="49" t="e">
        <f>+'EU-15_totals'!I6/'EU-15_totals'!#REF!</f>
        <v>#REF!</v>
      </c>
      <c r="I6" s="49"/>
      <c r="J6" s="49" t="e">
        <f>+'EU-15_totals'!C6/'EU-15_totals'!#REF!</f>
        <v>#REF!</v>
      </c>
      <c r="K6" s="49" t="e">
        <f>+'EU-15_totals'!D6/'EU-15_totals'!#REF!</f>
        <v>#REF!</v>
      </c>
      <c r="L6" s="49" t="e">
        <f>+'EU-15_totals'!K7/'EU-15_totals'!#REF!</f>
        <v>#REF!</v>
      </c>
      <c r="M6" s="49" t="e">
        <f>+'EU-15_totals'!F6/'EU-15_totals'!#REF!</f>
        <v>#REF!</v>
      </c>
      <c r="N6" s="49"/>
      <c r="O6" s="49" t="e">
        <f>+'EU-15_totals'!G6/'EU-15_totals'!#REF!</f>
        <v>#REF!</v>
      </c>
      <c r="P6" s="49" t="e">
        <f>+'EU-15_totals'!H6/'EU-15_totals'!#REF!</f>
        <v>#REF!</v>
      </c>
      <c r="Q6" s="49"/>
      <c r="R6" s="133">
        <f>+manip_cycling!B6</f>
        <v>70.60999999999999</v>
      </c>
      <c r="S6" s="133" t="e">
        <f>+manip_walking!#REF!</f>
        <v>#REF!</v>
      </c>
      <c r="V6" s="124" t="e">
        <f aca="true" t="shared" si="0" ref="V6:V27">+H6+P6+O6</f>
        <v>#REF!</v>
      </c>
      <c r="W6" s="109"/>
      <c r="X6" s="111" t="e">
        <f>+'EU-15_totals'!C6/('EU-15_totals'!C6+'EU-15_totals'!K7+'EU-15_totals'!L6+'EU-15_totals'!M6+'EU-15_totals'!N6)</f>
        <v>#REF!</v>
      </c>
      <c r="Y6" s="111" t="e">
        <f>+'EU-15_totals'!L6/('EU-15_totals'!C6+'EU-15_totals'!K7+'EU-15_totals'!L6+'EU-15_totals'!M6+'EU-15_totals'!N6)</f>
        <v>#REF!</v>
      </c>
      <c r="Z6" s="111" t="e">
        <f>+'EU-15_totals'!K7/('EU-15_totals'!C6+'EU-15_totals'!K7+'EU-15_totals'!L6+'EU-15_totals'!M6+'EU-15_totals'!N6)</f>
        <v>#REF!</v>
      </c>
      <c r="AA6" s="111" t="e">
        <f>+'EU-15_totals'!N6/('EU-15_totals'!C6+'EU-15_totals'!K7+'EU-15_totals'!L6+'EU-15_totals'!M6+'EU-15_totals'!N6)</f>
        <v>#REF!</v>
      </c>
      <c r="AB6" s="111" t="e">
        <f>+'EU-15_totals'!M6/('EU-15_totals'!C6+'EU-15_totals'!K7+'EU-15_totals'!L6+'EU-15_totals'!M6+'EU-15_totals'!N6)</f>
        <v>#REF!</v>
      </c>
      <c r="AC6" s="111" t="e">
        <f>SUM(X6:AB6)</f>
        <v>#REF!</v>
      </c>
    </row>
    <row r="7" spans="1:29" ht="11.25" hidden="1" outlineLevel="1">
      <c r="A7" s="25">
        <v>1981</v>
      </c>
      <c r="B7" s="49" t="e">
        <f aca="true" t="shared" si="1" ref="B7:B16">SUM(C7:G7)</f>
        <v>#REF!</v>
      </c>
      <c r="C7" s="49" t="e">
        <f>+'EU-15_totals'!C7/'EU-15_totals'!$B7</f>
        <v>#REF!</v>
      </c>
      <c r="D7" s="49" t="e">
        <f>+'EU-15_totals'!D7/'EU-15_totals'!$B7</f>
        <v>#REF!</v>
      </c>
      <c r="E7" s="49" t="e">
        <f>+'EU-15_totals'!F7/'EU-15_totals'!$B7</f>
        <v>#REF!</v>
      </c>
      <c r="F7" s="49" t="e">
        <f>+'EU-15_totals'!G7/'EU-15_totals'!$B7</f>
        <v>#REF!</v>
      </c>
      <c r="G7" s="49" t="e">
        <f>+'EU-15_totals'!H7/'EU-15_totals'!$B7</f>
        <v>#REF!</v>
      </c>
      <c r="H7" s="49" t="e">
        <f>+'EU-15_totals'!I7/'EU-15_totals'!#REF!</f>
        <v>#REF!</v>
      </c>
      <c r="I7" s="49"/>
      <c r="J7" s="49" t="e">
        <f>+'EU-15_totals'!C7/'EU-15_totals'!#REF!</f>
        <v>#REF!</v>
      </c>
      <c r="K7" s="49" t="e">
        <f>+'EU-15_totals'!D7/'EU-15_totals'!#REF!</f>
        <v>#REF!</v>
      </c>
      <c r="L7" s="49" t="e">
        <f>+'EU-15_totals'!K8/'EU-15_totals'!#REF!</f>
        <v>#REF!</v>
      </c>
      <c r="M7" s="49" t="e">
        <f>+'EU-15_totals'!F7/'EU-15_totals'!#REF!</f>
        <v>#REF!</v>
      </c>
      <c r="N7" s="49"/>
      <c r="O7" s="49" t="e">
        <f>+'EU-15_totals'!G7/'EU-15_totals'!#REF!</f>
        <v>#REF!</v>
      </c>
      <c r="P7" s="49" t="e">
        <f>+'EU-15_totals'!H7/'EU-15_totals'!#REF!</f>
        <v>#REF!</v>
      </c>
      <c r="Q7" s="49"/>
      <c r="R7" s="133">
        <f>+manip_cycling!B7</f>
        <v>69.80999999999999</v>
      </c>
      <c r="S7" s="133" t="e">
        <f>+manip_walking!#REF!</f>
        <v>#REF!</v>
      </c>
      <c r="V7" s="124" t="e">
        <f t="shared" si="0"/>
        <v>#REF!</v>
      </c>
      <c r="W7" s="109"/>
      <c r="X7" s="111" t="e">
        <f>+'EU-15_totals'!C7/('EU-15_totals'!C7+'EU-15_totals'!K8+'EU-15_totals'!L7+'EU-15_totals'!M7+'EU-15_totals'!N7)</f>
        <v>#REF!</v>
      </c>
      <c r="Y7" s="111" t="e">
        <f>+'EU-15_totals'!L7/('EU-15_totals'!C7+'EU-15_totals'!K8+'EU-15_totals'!L7+'EU-15_totals'!M7+'EU-15_totals'!N7)</f>
        <v>#REF!</v>
      </c>
      <c r="Z7" s="111" t="e">
        <f>+'EU-15_totals'!K8/('EU-15_totals'!C7+'EU-15_totals'!K8+'EU-15_totals'!L7+'EU-15_totals'!M7+'EU-15_totals'!N7)</f>
        <v>#REF!</v>
      </c>
      <c r="AA7" s="111" t="e">
        <f>+'EU-15_totals'!N7/('EU-15_totals'!C7+'EU-15_totals'!K8+'EU-15_totals'!L7+'EU-15_totals'!M7+'EU-15_totals'!N7)</f>
        <v>#REF!</v>
      </c>
      <c r="AB7" s="111" t="e">
        <f>+'EU-15_totals'!M7/('EU-15_totals'!C7+'EU-15_totals'!K8+'EU-15_totals'!L7+'EU-15_totals'!M7+'EU-15_totals'!N7)</f>
        <v>#REF!</v>
      </c>
      <c r="AC7" s="111" t="e">
        <f aca="true" t="shared" si="2" ref="AC7:AC27">SUM(X7:AB7)</f>
        <v>#REF!</v>
      </c>
    </row>
    <row r="8" spans="1:29" ht="11.25" hidden="1" outlineLevel="1">
      <c r="A8" s="25">
        <v>1982</v>
      </c>
      <c r="B8" s="49" t="e">
        <f t="shared" si="1"/>
        <v>#REF!</v>
      </c>
      <c r="C8" s="49" t="e">
        <f>+'EU-15_totals'!C8/'EU-15_totals'!$B8</f>
        <v>#REF!</v>
      </c>
      <c r="D8" s="49" t="e">
        <f>+'EU-15_totals'!D8/'EU-15_totals'!$B8</f>
        <v>#REF!</v>
      </c>
      <c r="E8" s="49" t="e">
        <f>+'EU-15_totals'!F8/'EU-15_totals'!$B8</f>
        <v>#REF!</v>
      </c>
      <c r="F8" s="49" t="e">
        <f>+'EU-15_totals'!G8/'EU-15_totals'!$B8</f>
        <v>#REF!</v>
      </c>
      <c r="G8" s="49" t="e">
        <f>+'EU-15_totals'!H8/'EU-15_totals'!$B8</f>
        <v>#REF!</v>
      </c>
      <c r="H8" s="49" t="e">
        <f>+'EU-15_totals'!I8/'EU-15_totals'!#REF!</f>
        <v>#REF!</v>
      </c>
      <c r="I8" s="49"/>
      <c r="J8" s="49" t="e">
        <f>+'EU-15_totals'!C8/'EU-15_totals'!#REF!</f>
        <v>#REF!</v>
      </c>
      <c r="K8" s="49" t="e">
        <f>+'EU-15_totals'!D8/'EU-15_totals'!#REF!</f>
        <v>#REF!</v>
      </c>
      <c r="L8" s="49" t="e">
        <f>+'EU-15_totals'!K9/'EU-15_totals'!#REF!</f>
        <v>#REF!</v>
      </c>
      <c r="M8" s="49" t="e">
        <f>+'EU-15_totals'!F8/'EU-15_totals'!#REF!</f>
        <v>#REF!</v>
      </c>
      <c r="N8" s="49"/>
      <c r="O8" s="49" t="e">
        <f>+'EU-15_totals'!G8/'EU-15_totals'!#REF!</f>
        <v>#REF!</v>
      </c>
      <c r="P8" s="49" t="e">
        <f>+'EU-15_totals'!H8/'EU-15_totals'!#REF!</f>
        <v>#REF!</v>
      </c>
      <c r="Q8" s="49"/>
      <c r="R8" s="133">
        <f>+manip_cycling!B8</f>
        <v>69.50999999999999</v>
      </c>
      <c r="S8" s="133" t="e">
        <f>+manip_walking!#REF!</f>
        <v>#REF!</v>
      </c>
      <c r="V8" s="124" t="e">
        <f t="shared" si="0"/>
        <v>#REF!</v>
      </c>
      <c r="W8" s="109"/>
      <c r="X8" s="111" t="e">
        <f>+'EU-15_totals'!C8/('EU-15_totals'!C8+'EU-15_totals'!K9+'EU-15_totals'!L8+'EU-15_totals'!M8+'EU-15_totals'!N8)</f>
        <v>#REF!</v>
      </c>
      <c r="Y8" s="111" t="e">
        <f>+'EU-15_totals'!L8/('EU-15_totals'!C8+'EU-15_totals'!K9+'EU-15_totals'!L8+'EU-15_totals'!M8+'EU-15_totals'!N8)</f>
        <v>#REF!</v>
      </c>
      <c r="Z8" s="111" t="e">
        <f>+'EU-15_totals'!K9/('EU-15_totals'!C8+'EU-15_totals'!K9+'EU-15_totals'!L8+'EU-15_totals'!M8+'EU-15_totals'!N8)</f>
        <v>#REF!</v>
      </c>
      <c r="AA8" s="111" t="e">
        <f>+'EU-15_totals'!N8/('EU-15_totals'!C8+'EU-15_totals'!K9+'EU-15_totals'!L8+'EU-15_totals'!M8+'EU-15_totals'!N8)</f>
        <v>#REF!</v>
      </c>
      <c r="AB8" s="111" t="e">
        <f>+'EU-15_totals'!M8/('EU-15_totals'!C8+'EU-15_totals'!K9+'EU-15_totals'!L8+'EU-15_totals'!M8+'EU-15_totals'!N8)</f>
        <v>#REF!</v>
      </c>
      <c r="AC8" s="111" t="e">
        <f t="shared" si="2"/>
        <v>#REF!</v>
      </c>
    </row>
    <row r="9" spans="1:29" ht="11.25" hidden="1" outlineLevel="1">
      <c r="A9" s="25">
        <v>1983</v>
      </c>
      <c r="B9" s="49" t="e">
        <f t="shared" si="1"/>
        <v>#REF!</v>
      </c>
      <c r="C9" s="49" t="e">
        <f>+'EU-15_totals'!C9/'EU-15_totals'!$B9</f>
        <v>#REF!</v>
      </c>
      <c r="D9" s="49" t="e">
        <f>+'EU-15_totals'!D9/'EU-15_totals'!$B9</f>
        <v>#REF!</v>
      </c>
      <c r="E9" s="49" t="e">
        <f>+'EU-15_totals'!F9/'EU-15_totals'!$B9</f>
        <v>#REF!</v>
      </c>
      <c r="F9" s="49" t="e">
        <f>+'EU-15_totals'!G9/'EU-15_totals'!$B9</f>
        <v>#REF!</v>
      </c>
      <c r="G9" s="49" t="e">
        <f>+'EU-15_totals'!H9/'EU-15_totals'!$B9</f>
        <v>#REF!</v>
      </c>
      <c r="H9" s="49" t="e">
        <f>+'EU-15_totals'!I9/'EU-15_totals'!#REF!</f>
        <v>#REF!</v>
      </c>
      <c r="I9" s="49"/>
      <c r="J9" s="49" t="e">
        <f>+'EU-15_totals'!C9/'EU-15_totals'!#REF!</f>
        <v>#REF!</v>
      </c>
      <c r="K9" s="49" t="e">
        <f>+'EU-15_totals'!D9/'EU-15_totals'!#REF!</f>
        <v>#REF!</v>
      </c>
      <c r="L9" s="49" t="e">
        <f>+'EU-15_totals'!K10/'EU-15_totals'!#REF!</f>
        <v>#REF!</v>
      </c>
      <c r="M9" s="49" t="e">
        <f>+'EU-15_totals'!F9/'EU-15_totals'!#REF!</f>
        <v>#REF!</v>
      </c>
      <c r="N9" s="49"/>
      <c r="O9" s="49" t="e">
        <f>+'EU-15_totals'!G9/'EU-15_totals'!#REF!</f>
        <v>#REF!</v>
      </c>
      <c r="P9" s="49" t="e">
        <f>+'EU-15_totals'!H9/'EU-15_totals'!#REF!</f>
        <v>#REF!</v>
      </c>
      <c r="Q9" s="49"/>
      <c r="R9" s="133">
        <f>+manip_cycling!B9</f>
        <v>70.81</v>
      </c>
      <c r="S9" s="133" t="e">
        <f>+manip_walking!#REF!</f>
        <v>#REF!</v>
      </c>
      <c r="V9" s="124" t="e">
        <f t="shared" si="0"/>
        <v>#REF!</v>
      </c>
      <c r="W9" s="109"/>
      <c r="X9" s="111" t="e">
        <f>+'EU-15_totals'!C9/('EU-15_totals'!C9+'EU-15_totals'!K10+'EU-15_totals'!L9+'EU-15_totals'!M9+'EU-15_totals'!N9)</f>
        <v>#REF!</v>
      </c>
      <c r="Y9" s="111" t="e">
        <f>+'EU-15_totals'!L9/('EU-15_totals'!C9+'EU-15_totals'!K10+'EU-15_totals'!L9+'EU-15_totals'!M9+'EU-15_totals'!N9)</f>
        <v>#REF!</v>
      </c>
      <c r="Z9" s="111" t="e">
        <f>+'EU-15_totals'!K10/('EU-15_totals'!C9+'EU-15_totals'!K10+'EU-15_totals'!L9+'EU-15_totals'!M9+'EU-15_totals'!N9)</f>
        <v>#REF!</v>
      </c>
      <c r="AA9" s="111" t="e">
        <f>+'EU-15_totals'!N9/('EU-15_totals'!C9+'EU-15_totals'!K10+'EU-15_totals'!L9+'EU-15_totals'!M9+'EU-15_totals'!N9)</f>
        <v>#REF!</v>
      </c>
      <c r="AB9" s="111" t="e">
        <f>+'EU-15_totals'!M9/('EU-15_totals'!C9+'EU-15_totals'!K10+'EU-15_totals'!L9+'EU-15_totals'!M9+'EU-15_totals'!N9)</f>
        <v>#REF!</v>
      </c>
      <c r="AC9" s="111" t="e">
        <f t="shared" si="2"/>
        <v>#REF!</v>
      </c>
    </row>
    <row r="10" spans="1:29" ht="11.25" hidden="1" outlineLevel="1">
      <c r="A10" s="25">
        <v>1984</v>
      </c>
      <c r="B10" s="49" t="e">
        <f t="shared" si="1"/>
        <v>#REF!</v>
      </c>
      <c r="C10" s="49" t="e">
        <f>+'EU-15_totals'!C10/'EU-15_totals'!$B10</f>
        <v>#REF!</v>
      </c>
      <c r="D10" s="49" t="e">
        <f>+'EU-15_totals'!D10/'EU-15_totals'!$B10</f>
        <v>#REF!</v>
      </c>
      <c r="E10" s="49" t="e">
        <f>+'EU-15_totals'!F10/'EU-15_totals'!$B10</f>
        <v>#REF!</v>
      </c>
      <c r="F10" s="49" t="e">
        <f>+'EU-15_totals'!G10/'EU-15_totals'!$B10</f>
        <v>#REF!</v>
      </c>
      <c r="G10" s="49" t="e">
        <f>+'EU-15_totals'!H10/'EU-15_totals'!$B10</f>
        <v>#REF!</v>
      </c>
      <c r="H10" s="49" t="e">
        <f>+'EU-15_totals'!I10/'EU-15_totals'!#REF!</f>
        <v>#REF!</v>
      </c>
      <c r="I10" s="49"/>
      <c r="J10" s="49" t="e">
        <f>+'EU-15_totals'!C10/'EU-15_totals'!#REF!</f>
        <v>#REF!</v>
      </c>
      <c r="K10" s="49" t="e">
        <f>+'EU-15_totals'!D10/'EU-15_totals'!#REF!</f>
        <v>#REF!</v>
      </c>
      <c r="L10" s="49" t="e">
        <f>+'EU-15_totals'!K11/'EU-15_totals'!#REF!</f>
        <v>#REF!</v>
      </c>
      <c r="M10" s="49" t="e">
        <f>+'EU-15_totals'!F10/'EU-15_totals'!#REF!</f>
        <v>#REF!</v>
      </c>
      <c r="N10" s="49"/>
      <c r="O10" s="49" t="e">
        <f>+'EU-15_totals'!G10/'EU-15_totals'!#REF!</f>
        <v>#REF!</v>
      </c>
      <c r="P10" s="49" t="e">
        <f>+'EU-15_totals'!H10/'EU-15_totals'!#REF!</f>
        <v>#REF!</v>
      </c>
      <c r="Q10" s="49"/>
      <c r="R10" s="133">
        <f>+manip_cycling!B10</f>
        <v>69.20999999999998</v>
      </c>
      <c r="S10" s="133" t="e">
        <f>+manip_walking!#REF!</f>
        <v>#REF!</v>
      </c>
      <c r="V10" s="124" t="e">
        <f t="shared" si="0"/>
        <v>#REF!</v>
      </c>
      <c r="W10" s="109"/>
      <c r="X10" s="111" t="e">
        <f>+'EU-15_totals'!C10/('EU-15_totals'!C10+'EU-15_totals'!K11+'EU-15_totals'!L10+'EU-15_totals'!M10+'EU-15_totals'!N10)</f>
        <v>#REF!</v>
      </c>
      <c r="Y10" s="111" t="e">
        <f>+'EU-15_totals'!L10/('EU-15_totals'!C10+'EU-15_totals'!K11+'EU-15_totals'!L10+'EU-15_totals'!M10+'EU-15_totals'!N10)</f>
        <v>#REF!</v>
      </c>
      <c r="Z10" s="111" t="e">
        <f>+'EU-15_totals'!K11/('EU-15_totals'!C10+'EU-15_totals'!K11+'EU-15_totals'!L10+'EU-15_totals'!M10+'EU-15_totals'!N10)</f>
        <v>#REF!</v>
      </c>
      <c r="AA10" s="111" t="e">
        <f>+'EU-15_totals'!N10/('EU-15_totals'!C10+'EU-15_totals'!K11+'EU-15_totals'!L10+'EU-15_totals'!M10+'EU-15_totals'!N10)</f>
        <v>#REF!</v>
      </c>
      <c r="AB10" s="111" t="e">
        <f>+'EU-15_totals'!M10/('EU-15_totals'!C10+'EU-15_totals'!K11+'EU-15_totals'!L10+'EU-15_totals'!M10+'EU-15_totals'!N10)</f>
        <v>#REF!</v>
      </c>
      <c r="AC10" s="111" t="e">
        <f t="shared" si="2"/>
        <v>#REF!</v>
      </c>
    </row>
    <row r="11" spans="1:29" ht="11.25" hidden="1" outlineLevel="1">
      <c r="A11" s="25">
        <v>1985</v>
      </c>
      <c r="B11" s="49" t="e">
        <f t="shared" si="1"/>
        <v>#REF!</v>
      </c>
      <c r="C11" s="49" t="e">
        <f>+'EU-15_totals'!C11/'EU-15_totals'!$B11</f>
        <v>#REF!</v>
      </c>
      <c r="D11" s="49" t="e">
        <f>+'EU-15_totals'!D11/'EU-15_totals'!$B11</f>
        <v>#REF!</v>
      </c>
      <c r="E11" s="49" t="e">
        <f>+'EU-15_totals'!F11/'EU-15_totals'!$B11</f>
        <v>#REF!</v>
      </c>
      <c r="F11" s="49" t="e">
        <f>+'EU-15_totals'!G11/'EU-15_totals'!$B11</f>
        <v>#REF!</v>
      </c>
      <c r="G11" s="49" t="e">
        <f>+'EU-15_totals'!H11/'EU-15_totals'!$B11</f>
        <v>#REF!</v>
      </c>
      <c r="H11" s="49" t="e">
        <f>+'EU-15_totals'!I11/'EU-15_totals'!#REF!</f>
        <v>#REF!</v>
      </c>
      <c r="I11" s="49"/>
      <c r="J11" s="49" t="e">
        <f>+'EU-15_totals'!C11/'EU-15_totals'!#REF!</f>
        <v>#REF!</v>
      </c>
      <c r="K11" s="49" t="e">
        <f>+'EU-15_totals'!D11/'EU-15_totals'!#REF!</f>
        <v>#REF!</v>
      </c>
      <c r="L11" s="49" t="e">
        <f>+'EU-15_totals'!K12/'EU-15_totals'!#REF!</f>
        <v>#REF!</v>
      </c>
      <c r="M11" s="49" t="e">
        <f>+'EU-15_totals'!F11/'EU-15_totals'!#REF!</f>
        <v>#REF!</v>
      </c>
      <c r="N11" s="49"/>
      <c r="O11" s="49" t="e">
        <f>+'EU-15_totals'!G11/'EU-15_totals'!#REF!</f>
        <v>#REF!</v>
      </c>
      <c r="P11" s="49" t="e">
        <f>+'EU-15_totals'!H11/'EU-15_totals'!#REF!</f>
        <v>#REF!</v>
      </c>
      <c r="Q11" s="49"/>
      <c r="R11" s="133">
        <f>+manip_cycling!B11</f>
        <v>70.71</v>
      </c>
      <c r="S11" s="133" t="e">
        <f>+manip_walking!#REF!</f>
        <v>#REF!</v>
      </c>
      <c r="V11" s="124" t="e">
        <f t="shared" si="0"/>
        <v>#REF!</v>
      </c>
      <c r="W11" s="109"/>
      <c r="X11" s="111" t="e">
        <f>+'EU-15_totals'!C11/('EU-15_totals'!C11+'EU-15_totals'!K12+'EU-15_totals'!L11+'EU-15_totals'!M11+'EU-15_totals'!N11)</f>
        <v>#REF!</v>
      </c>
      <c r="Y11" s="111" t="e">
        <f>+'EU-15_totals'!L11/('EU-15_totals'!C11+'EU-15_totals'!K12+'EU-15_totals'!L11+'EU-15_totals'!M11+'EU-15_totals'!N11)</f>
        <v>#REF!</v>
      </c>
      <c r="Z11" s="111" t="e">
        <f>+'EU-15_totals'!K12/('EU-15_totals'!C11+'EU-15_totals'!K12+'EU-15_totals'!L11+'EU-15_totals'!M11+'EU-15_totals'!N11)</f>
        <v>#REF!</v>
      </c>
      <c r="AA11" s="111" t="e">
        <f>+'EU-15_totals'!N11/('EU-15_totals'!C11+'EU-15_totals'!K12+'EU-15_totals'!L11+'EU-15_totals'!M11+'EU-15_totals'!N11)</f>
        <v>#REF!</v>
      </c>
      <c r="AB11" s="111" t="e">
        <f>+'EU-15_totals'!M11/('EU-15_totals'!C11+'EU-15_totals'!K12+'EU-15_totals'!L11+'EU-15_totals'!M11+'EU-15_totals'!N11)</f>
        <v>#REF!</v>
      </c>
      <c r="AC11" s="111" t="e">
        <f t="shared" si="2"/>
        <v>#REF!</v>
      </c>
    </row>
    <row r="12" spans="1:29" ht="11.25" hidden="1" outlineLevel="1">
      <c r="A12" s="25">
        <v>1986</v>
      </c>
      <c r="B12" s="49" t="e">
        <f t="shared" si="1"/>
        <v>#REF!</v>
      </c>
      <c r="C12" s="49" t="e">
        <f>+'EU-15_totals'!C12/'EU-15_totals'!$B12</f>
        <v>#REF!</v>
      </c>
      <c r="D12" s="49" t="e">
        <f>+'EU-15_totals'!D12/'EU-15_totals'!$B12</f>
        <v>#REF!</v>
      </c>
      <c r="E12" s="49" t="e">
        <f>+'EU-15_totals'!F12/'EU-15_totals'!$B12</f>
        <v>#REF!</v>
      </c>
      <c r="F12" s="49" t="e">
        <f>+'EU-15_totals'!G12/'EU-15_totals'!$B12</f>
        <v>#REF!</v>
      </c>
      <c r="G12" s="49" t="e">
        <f>+'EU-15_totals'!H12/'EU-15_totals'!$B12</f>
        <v>#REF!</v>
      </c>
      <c r="H12" s="49" t="e">
        <f>+'EU-15_totals'!I12/'EU-15_totals'!#REF!</f>
        <v>#REF!</v>
      </c>
      <c r="I12" s="49"/>
      <c r="J12" s="49" t="e">
        <f>+'EU-15_totals'!C12/'EU-15_totals'!#REF!</f>
        <v>#REF!</v>
      </c>
      <c r="K12" s="49" t="e">
        <f>+'EU-15_totals'!D12/'EU-15_totals'!#REF!</f>
        <v>#REF!</v>
      </c>
      <c r="L12" s="49" t="e">
        <f>+'EU-15_totals'!K13/'EU-15_totals'!#REF!</f>
        <v>#REF!</v>
      </c>
      <c r="M12" s="49" t="e">
        <f>+'EU-15_totals'!F12/'EU-15_totals'!#REF!</f>
        <v>#REF!</v>
      </c>
      <c r="N12" s="49"/>
      <c r="O12" s="49" t="e">
        <f>+'EU-15_totals'!G12/'EU-15_totals'!#REF!</f>
        <v>#REF!</v>
      </c>
      <c r="P12" s="49" t="e">
        <f>+'EU-15_totals'!H12/'EU-15_totals'!#REF!</f>
        <v>#REF!</v>
      </c>
      <c r="Q12" s="49"/>
      <c r="R12" s="133">
        <f>+manip_cycling!B12</f>
        <v>70.41</v>
      </c>
      <c r="S12" s="133" t="e">
        <f>+manip_walking!#REF!</f>
        <v>#REF!</v>
      </c>
      <c r="V12" s="124" t="e">
        <f t="shared" si="0"/>
        <v>#REF!</v>
      </c>
      <c r="W12" s="109"/>
      <c r="X12" s="111" t="e">
        <f>+'EU-15_totals'!C12/('EU-15_totals'!C12+'EU-15_totals'!K13+'EU-15_totals'!L12+'EU-15_totals'!M12+'EU-15_totals'!N12)</f>
        <v>#REF!</v>
      </c>
      <c r="Y12" s="111" t="e">
        <f>+'EU-15_totals'!L12/('EU-15_totals'!C12+'EU-15_totals'!K13+'EU-15_totals'!L12+'EU-15_totals'!M12+'EU-15_totals'!N12)</f>
        <v>#REF!</v>
      </c>
      <c r="Z12" s="111" t="e">
        <f>+'EU-15_totals'!K13/('EU-15_totals'!C12+'EU-15_totals'!K13+'EU-15_totals'!L12+'EU-15_totals'!M12+'EU-15_totals'!N12)</f>
        <v>#REF!</v>
      </c>
      <c r="AA12" s="111" t="e">
        <f>+'EU-15_totals'!N12/('EU-15_totals'!C12+'EU-15_totals'!K13+'EU-15_totals'!L12+'EU-15_totals'!M12+'EU-15_totals'!N12)</f>
        <v>#REF!</v>
      </c>
      <c r="AB12" s="111" t="e">
        <f>+'EU-15_totals'!M12/('EU-15_totals'!C12+'EU-15_totals'!K13+'EU-15_totals'!L12+'EU-15_totals'!M12+'EU-15_totals'!N12)</f>
        <v>#REF!</v>
      </c>
      <c r="AC12" s="111" t="e">
        <f t="shared" si="2"/>
        <v>#REF!</v>
      </c>
    </row>
    <row r="13" spans="1:29" ht="11.25" hidden="1" outlineLevel="1">
      <c r="A13" s="25">
        <v>1987</v>
      </c>
      <c r="B13" s="49" t="e">
        <f t="shared" si="1"/>
        <v>#REF!</v>
      </c>
      <c r="C13" s="49" t="e">
        <f>+'EU-15_totals'!C13/'EU-15_totals'!$B13</f>
        <v>#REF!</v>
      </c>
      <c r="D13" s="49" t="e">
        <f>+'EU-15_totals'!D13/'EU-15_totals'!$B13</f>
        <v>#REF!</v>
      </c>
      <c r="E13" s="49" t="e">
        <f>+'EU-15_totals'!F13/'EU-15_totals'!$B13</f>
        <v>#REF!</v>
      </c>
      <c r="F13" s="49" t="e">
        <f>+'EU-15_totals'!G13/'EU-15_totals'!$B13</f>
        <v>#REF!</v>
      </c>
      <c r="G13" s="49" t="e">
        <f>+'EU-15_totals'!H13/'EU-15_totals'!$B13</f>
        <v>#REF!</v>
      </c>
      <c r="H13" s="49" t="e">
        <f>+'EU-15_totals'!I13/'EU-15_totals'!#REF!</f>
        <v>#REF!</v>
      </c>
      <c r="I13" s="49"/>
      <c r="J13" s="49" t="e">
        <f>+'EU-15_totals'!C13/'EU-15_totals'!#REF!</f>
        <v>#REF!</v>
      </c>
      <c r="K13" s="49" t="e">
        <f>+'EU-15_totals'!D13/'EU-15_totals'!#REF!</f>
        <v>#REF!</v>
      </c>
      <c r="L13" s="49" t="e">
        <f>+'EU-15_totals'!K14/'EU-15_totals'!#REF!</f>
        <v>#REF!</v>
      </c>
      <c r="M13" s="49" t="e">
        <f>+'EU-15_totals'!F13/'EU-15_totals'!#REF!</f>
        <v>#REF!</v>
      </c>
      <c r="N13" s="49"/>
      <c r="O13" s="49" t="e">
        <f>+'EU-15_totals'!G13/'EU-15_totals'!#REF!</f>
        <v>#REF!</v>
      </c>
      <c r="P13" s="49" t="e">
        <f>+'EU-15_totals'!H13/'EU-15_totals'!#REF!</f>
        <v>#REF!</v>
      </c>
      <c r="Q13" s="49"/>
      <c r="R13" s="133">
        <f>+manip_cycling!B13</f>
        <v>70.71</v>
      </c>
      <c r="S13" s="133" t="e">
        <f>+manip_walking!#REF!</f>
        <v>#REF!</v>
      </c>
      <c r="V13" s="124" t="e">
        <f t="shared" si="0"/>
        <v>#REF!</v>
      </c>
      <c r="W13" s="109"/>
      <c r="X13" s="111" t="e">
        <f>+'EU-15_totals'!C13/('EU-15_totals'!C13+'EU-15_totals'!K14+'EU-15_totals'!L13+'EU-15_totals'!M13+'EU-15_totals'!N13)</f>
        <v>#REF!</v>
      </c>
      <c r="Y13" s="111" t="e">
        <f>+'EU-15_totals'!L13/('EU-15_totals'!C13+'EU-15_totals'!K14+'EU-15_totals'!L13+'EU-15_totals'!M13+'EU-15_totals'!N13)</f>
        <v>#REF!</v>
      </c>
      <c r="Z13" s="111" t="e">
        <f>+'EU-15_totals'!K14/('EU-15_totals'!C13+'EU-15_totals'!K14+'EU-15_totals'!L13+'EU-15_totals'!M13+'EU-15_totals'!N13)</f>
        <v>#REF!</v>
      </c>
      <c r="AA13" s="111" t="e">
        <f>+'EU-15_totals'!N13/('EU-15_totals'!C13+'EU-15_totals'!K14+'EU-15_totals'!L13+'EU-15_totals'!M13+'EU-15_totals'!N13)</f>
        <v>#REF!</v>
      </c>
      <c r="AB13" s="111" t="e">
        <f>+'EU-15_totals'!M13/('EU-15_totals'!C13+'EU-15_totals'!K14+'EU-15_totals'!L13+'EU-15_totals'!M13+'EU-15_totals'!N13)</f>
        <v>#REF!</v>
      </c>
      <c r="AC13" s="111" t="e">
        <f t="shared" si="2"/>
        <v>#REF!</v>
      </c>
    </row>
    <row r="14" spans="1:29" ht="11.25" hidden="1" outlineLevel="1">
      <c r="A14" s="25">
        <v>1988</v>
      </c>
      <c r="B14" s="49" t="e">
        <f t="shared" si="1"/>
        <v>#REF!</v>
      </c>
      <c r="C14" s="49" t="e">
        <f>+'EU-15_totals'!C14/'EU-15_totals'!$B14</f>
        <v>#REF!</v>
      </c>
      <c r="D14" s="49" t="e">
        <f>+'EU-15_totals'!D14/'EU-15_totals'!$B14</f>
        <v>#REF!</v>
      </c>
      <c r="E14" s="49" t="e">
        <f>+'EU-15_totals'!F14/'EU-15_totals'!$B14</f>
        <v>#REF!</v>
      </c>
      <c r="F14" s="49" t="e">
        <f>+'EU-15_totals'!G14/'EU-15_totals'!$B14</f>
        <v>#REF!</v>
      </c>
      <c r="G14" s="49" t="e">
        <f>+'EU-15_totals'!H14/'EU-15_totals'!$B14</f>
        <v>#REF!</v>
      </c>
      <c r="H14" s="49" t="e">
        <f>+'EU-15_totals'!I14/'EU-15_totals'!#REF!</f>
        <v>#REF!</v>
      </c>
      <c r="I14" s="49"/>
      <c r="J14" s="49" t="e">
        <f>+'EU-15_totals'!C14/'EU-15_totals'!#REF!</f>
        <v>#REF!</v>
      </c>
      <c r="K14" s="49" t="e">
        <f>+'EU-15_totals'!D14/'EU-15_totals'!#REF!</f>
        <v>#REF!</v>
      </c>
      <c r="L14" s="49" t="e">
        <f>+'EU-15_totals'!K15/'EU-15_totals'!#REF!</f>
        <v>#REF!</v>
      </c>
      <c r="M14" s="49" t="e">
        <f>+'EU-15_totals'!F14/'EU-15_totals'!#REF!</f>
        <v>#REF!</v>
      </c>
      <c r="N14" s="49"/>
      <c r="O14" s="49" t="e">
        <f>+'EU-15_totals'!G14/'EU-15_totals'!#REF!</f>
        <v>#REF!</v>
      </c>
      <c r="P14" s="49" t="e">
        <f>+'EU-15_totals'!H14/'EU-15_totals'!#REF!</f>
        <v>#REF!</v>
      </c>
      <c r="Q14" s="49"/>
      <c r="R14" s="133">
        <f>+manip_cycling!B14</f>
        <v>70.91</v>
      </c>
      <c r="S14" s="133" t="e">
        <f>+manip_walking!#REF!</f>
        <v>#REF!</v>
      </c>
      <c r="V14" s="124" t="e">
        <f t="shared" si="0"/>
        <v>#REF!</v>
      </c>
      <c r="W14" s="109"/>
      <c r="X14" s="111" t="e">
        <f>+'EU-15_totals'!C14/('EU-15_totals'!C14+'EU-15_totals'!K15+'EU-15_totals'!L14+'EU-15_totals'!M14+'EU-15_totals'!N14)</f>
        <v>#REF!</v>
      </c>
      <c r="Y14" s="111" t="e">
        <f>+'EU-15_totals'!L14/('EU-15_totals'!C14+'EU-15_totals'!K15+'EU-15_totals'!L14+'EU-15_totals'!M14+'EU-15_totals'!N14)</f>
        <v>#REF!</v>
      </c>
      <c r="Z14" s="111" t="e">
        <f>+'EU-15_totals'!K15/('EU-15_totals'!C14+'EU-15_totals'!K15+'EU-15_totals'!L14+'EU-15_totals'!M14+'EU-15_totals'!N14)</f>
        <v>#REF!</v>
      </c>
      <c r="AA14" s="111" t="e">
        <f>+'EU-15_totals'!N14/('EU-15_totals'!C14+'EU-15_totals'!K15+'EU-15_totals'!L14+'EU-15_totals'!M14+'EU-15_totals'!N14)</f>
        <v>#REF!</v>
      </c>
      <c r="AB14" s="111" t="e">
        <f>+'EU-15_totals'!M14/('EU-15_totals'!C14+'EU-15_totals'!K15+'EU-15_totals'!L14+'EU-15_totals'!M14+'EU-15_totals'!N14)</f>
        <v>#REF!</v>
      </c>
      <c r="AC14" s="111" t="e">
        <f t="shared" si="2"/>
        <v>#REF!</v>
      </c>
    </row>
    <row r="15" spans="1:29" ht="11.25" hidden="1" outlineLevel="1">
      <c r="A15" s="25">
        <v>1989</v>
      </c>
      <c r="B15" s="49" t="e">
        <f t="shared" si="1"/>
        <v>#REF!</v>
      </c>
      <c r="C15" s="49" t="e">
        <f>+'EU-15_totals'!C15/'EU-15_totals'!$B15</f>
        <v>#REF!</v>
      </c>
      <c r="D15" s="49" t="e">
        <f>+'EU-15_totals'!D15/'EU-15_totals'!$B15</f>
        <v>#REF!</v>
      </c>
      <c r="E15" s="49" t="e">
        <f>+'EU-15_totals'!F15/'EU-15_totals'!$B15</f>
        <v>#REF!</v>
      </c>
      <c r="F15" s="49" t="e">
        <f>+'EU-15_totals'!G15/'EU-15_totals'!$B15</f>
        <v>#REF!</v>
      </c>
      <c r="G15" s="49" t="e">
        <f>+'EU-15_totals'!H15/'EU-15_totals'!$B15</f>
        <v>#REF!</v>
      </c>
      <c r="H15" s="49" t="e">
        <f>+'EU-15_totals'!I15/'EU-15_totals'!#REF!</f>
        <v>#REF!</v>
      </c>
      <c r="I15" s="49"/>
      <c r="J15" s="49" t="e">
        <f>+'EU-15_totals'!C15/'EU-15_totals'!#REF!</f>
        <v>#REF!</v>
      </c>
      <c r="K15" s="49" t="e">
        <f>+'EU-15_totals'!D15/'EU-15_totals'!#REF!</f>
        <v>#REF!</v>
      </c>
      <c r="L15" s="49" t="e">
        <f>+'EU-15_totals'!K16/'EU-15_totals'!#REF!</f>
        <v>#REF!</v>
      </c>
      <c r="M15" s="49" t="e">
        <f>+'EU-15_totals'!F15/'EU-15_totals'!#REF!</f>
        <v>#REF!</v>
      </c>
      <c r="N15" s="49"/>
      <c r="O15" s="49" t="e">
        <f>+'EU-15_totals'!G15/'EU-15_totals'!#REF!</f>
        <v>#REF!</v>
      </c>
      <c r="P15" s="49" t="e">
        <f>+'EU-15_totals'!H15/'EU-15_totals'!#REF!</f>
        <v>#REF!</v>
      </c>
      <c r="Q15" s="49"/>
      <c r="R15" s="133">
        <f>+manip_cycling!B15</f>
        <v>0</v>
      </c>
      <c r="S15" s="133" t="e">
        <f>+manip_walking!#REF!</f>
        <v>#REF!</v>
      </c>
      <c r="V15" s="124" t="e">
        <f t="shared" si="0"/>
        <v>#REF!</v>
      </c>
      <c r="W15" s="109"/>
      <c r="X15" s="111" t="e">
        <f>+'EU-15_totals'!C15/('EU-15_totals'!C15+'EU-15_totals'!K16+'EU-15_totals'!L15+'EU-15_totals'!M15+'EU-15_totals'!N15)</f>
        <v>#REF!</v>
      </c>
      <c r="Y15" s="111" t="e">
        <f>+'EU-15_totals'!L15/('EU-15_totals'!C15+'EU-15_totals'!K16+'EU-15_totals'!L15+'EU-15_totals'!M15+'EU-15_totals'!N15)</f>
        <v>#REF!</v>
      </c>
      <c r="Z15" s="111" t="e">
        <f>+'EU-15_totals'!K16/('EU-15_totals'!C15+'EU-15_totals'!K16+'EU-15_totals'!L15+'EU-15_totals'!M15+'EU-15_totals'!N15)</f>
        <v>#REF!</v>
      </c>
      <c r="AA15" s="111" t="e">
        <f>+'EU-15_totals'!N15/('EU-15_totals'!C15+'EU-15_totals'!K16+'EU-15_totals'!L15+'EU-15_totals'!M15+'EU-15_totals'!N15)</f>
        <v>#REF!</v>
      </c>
      <c r="AB15" s="111" t="e">
        <f>+'EU-15_totals'!M15/('EU-15_totals'!C15+'EU-15_totals'!K16+'EU-15_totals'!L15+'EU-15_totals'!M15+'EU-15_totals'!N15)</f>
        <v>#REF!</v>
      </c>
      <c r="AC15" s="111" t="e">
        <f t="shared" si="2"/>
        <v>#REF!</v>
      </c>
    </row>
    <row r="16" spans="1:29" ht="11.25" hidden="1" outlineLevel="1">
      <c r="A16" s="25">
        <v>1990</v>
      </c>
      <c r="B16" s="49" t="e">
        <f t="shared" si="1"/>
        <v>#REF!</v>
      </c>
      <c r="C16" s="49" t="e">
        <f>+'EU-15_totals'!C16/'EU-15_totals'!$B16</f>
        <v>#REF!</v>
      </c>
      <c r="D16" s="49" t="e">
        <f>+'EU-15_totals'!D16/'EU-15_totals'!$B16</f>
        <v>#REF!</v>
      </c>
      <c r="E16" s="49" t="e">
        <f>+'EU-15_totals'!F16/'EU-15_totals'!$B16</f>
        <v>#REF!</v>
      </c>
      <c r="F16" s="49" t="e">
        <f>+'EU-15_totals'!G16/'EU-15_totals'!$B16</f>
        <v>#REF!</v>
      </c>
      <c r="G16" s="49" t="e">
        <f>+'EU-15_totals'!H16/'EU-15_totals'!$B16</f>
        <v>#REF!</v>
      </c>
      <c r="H16" s="49" t="e">
        <f>+'EU-15_totals'!I16/'EU-15_totals'!#REF!</f>
        <v>#REF!</v>
      </c>
      <c r="I16" s="49"/>
      <c r="J16" s="49" t="e">
        <f>+'EU-15_totals'!C16/'EU-15_totals'!#REF!</f>
        <v>#REF!</v>
      </c>
      <c r="K16" s="49" t="e">
        <f>+'EU-15_totals'!D16/'EU-15_totals'!#REF!</f>
        <v>#REF!</v>
      </c>
      <c r="L16" s="49" t="e">
        <f>+'EU-15_totals'!K17/'EU-15_totals'!#REF!</f>
        <v>#REF!</v>
      </c>
      <c r="M16" s="49" t="e">
        <f>+'EU-15_totals'!F16/'EU-15_totals'!#REF!</f>
        <v>#REF!</v>
      </c>
      <c r="N16" s="49"/>
      <c r="O16" s="49" t="e">
        <f>+'EU-15_totals'!G16/'EU-15_totals'!#REF!</f>
        <v>#REF!</v>
      </c>
      <c r="P16" s="49" t="e">
        <f>+'EU-15_totals'!H16/'EU-15_totals'!#REF!</f>
        <v>#REF!</v>
      </c>
      <c r="Q16" s="49"/>
      <c r="R16" s="133" t="e">
        <f>+manip_cycling!#REF!</f>
        <v>#REF!</v>
      </c>
      <c r="S16" s="133" t="e">
        <f>+manip_walking!#REF!</f>
        <v>#REF!</v>
      </c>
      <c r="V16" s="124" t="e">
        <f t="shared" si="0"/>
        <v>#REF!</v>
      </c>
      <c r="W16" s="109"/>
      <c r="X16" s="111" t="e">
        <f>+'EU-15_totals'!C16/('EU-15_totals'!C16+'EU-15_totals'!K17+'EU-15_totals'!L16+'EU-15_totals'!M16+'EU-15_totals'!N16)</f>
        <v>#REF!</v>
      </c>
      <c r="Y16" s="111" t="e">
        <f>+'EU-15_totals'!L16/('EU-15_totals'!C16+'EU-15_totals'!K17+'EU-15_totals'!L16+'EU-15_totals'!M16+'EU-15_totals'!N16)</f>
        <v>#REF!</v>
      </c>
      <c r="Z16" s="111" t="e">
        <f>+'EU-15_totals'!K17/('EU-15_totals'!C16+'EU-15_totals'!K17+'EU-15_totals'!L16+'EU-15_totals'!M16+'EU-15_totals'!N16)</f>
        <v>#REF!</v>
      </c>
      <c r="AA16" s="111" t="e">
        <f>+'EU-15_totals'!N16/('EU-15_totals'!C16+'EU-15_totals'!K17+'EU-15_totals'!L16+'EU-15_totals'!M16+'EU-15_totals'!N16)</f>
        <v>#REF!</v>
      </c>
      <c r="AB16" s="111" t="e">
        <f>+'EU-15_totals'!M16/('EU-15_totals'!C16+'EU-15_totals'!K17+'EU-15_totals'!L16+'EU-15_totals'!M16+'EU-15_totals'!N16)</f>
        <v>#REF!</v>
      </c>
      <c r="AC16" s="111" t="e">
        <f t="shared" si="2"/>
        <v>#REF!</v>
      </c>
    </row>
    <row r="17" spans="1:29" ht="11.25" collapsed="1">
      <c r="A17" s="25">
        <v>1991</v>
      </c>
      <c r="B17" s="49">
        <f>SUM(C17:H17)</f>
        <v>1</v>
      </c>
      <c r="C17" s="49">
        <f>+'EU-15_totals'!C17/'EU-15_totals'!$B17</f>
        <v>0.780641423129084</v>
      </c>
      <c r="D17" s="79">
        <f>+'EU-15_totals'!D17/'EU-15_totals'!$B17</f>
        <v>0.08989255466859554</v>
      </c>
      <c r="E17" s="79">
        <f>+'EU-15_totals'!F17/'EU-15_totals'!$B17</f>
        <v>0.06571204024123867</v>
      </c>
      <c r="F17" s="49">
        <f>+'EU-15_totals'!G17/'EU-15_totals'!$B17</f>
        <v>0.007021851680971059</v>
      </c>
      <c r="G17" s="49">
        <f>+'EU-15_totals'!H17/'EU-15_totals'!$B17</f>
        <v>0.013258803096625466</v>
      </c>
      <c r="H17" s="49">
        <f>+'EU-15_totals'!I17/'EU-15_totals'!B17</f>
        <v>0.04347332718348532</v>
      </c>
      <c r="I17" s="49"/>
      <c r="J17" s="49" t="e">
        <f>+'EU-15_totals'!C17/'EU-15_totals'!P17</f>
        <v>#N/A</v>
      </c>
      <c r="K17" s="49" t="e">
        <f>+'EU-15_totals'!D17/'EU-15_totals'!P17</f>
        <v>#N/A</v>
      </c>
      <c r="L17" s="49" t="e">
        <f>+'EU-15_totals'!K17/'EU-15_totals'!P17</f>
        <v>#N/A</v>
      </c>
      <c r="M17" s="49" t="e">
        <f>+'EU-15_totals'!F17/'EU-15_totals'!P17</f>
        <v>#N/A</v>
      </c>
      <c r="N17" s="49" t="e">
        <f>+'EU-15_totals'!L17/'EU-15_totals'!P17</f>
        <v>#N/A</v>
      </c>
      <c r="O17" s="49" t="e">
        <f>+'EU-15_totals'!G17/'EU-15_totals'!P17</f>
        <v>#N/A</v>
      </c>
      <c r="P17" s="49" t="e">
        <f>+'EU-15_totals'!H17/'EU-15_totals'!P17</f>
        <v>#N/A</v>
      </c>
      <c r="Q17" s="49" t="e">
        <f>+'EU-15_totals'!I17/'EU-15_totals'!P17</f>
        <v>#N/A</v>
      </c>
      <c r="R17" s="49" t="e">
        <f>+'EU-15_totals'!M17/'EU-15_totals'!P17</f>
        <v>#N/A</v>
      </c>
      <c r="S17" s="49" t="e">
        <f>+'EU-15_totals'!N17/'EU-15_totals'!P17</f>
        <v>#N/A</v>
      </c>
      <c r="U17" s="77" t="e">
        <f>SUM(J17:T17)</f>
        <v>#N/A</v>
      </c>
      <c r="V17" s="124" t="e">
        <f t="shared" si="0"/>
        <v>#N/A</v>
      </c>
      <c r="W17" s="109"/>
      <c r="X17" s="111" t="e">
        <f>+'EU-15_totals'!C17/('EU-15_totals'!C17+'EU-15_totals'!K18+'EU-15_totals'!L17+'EU-15_totals'!M17+'EU-15_totals'!N17)</f>
        <v>#N/A</v>
      </c>
      <c r="Y17" s="111" t="e">
        <f>+'EU-15_totals'!L17/('EU-15_totals'!C17+'EU-15_totals'!K18+'EU-15_totals'!L17+'EU-15_totals'!M17+'EU-15_totals'!N17)</f>
        <v>#N/A</v>
      </c>
      <c r="Z17" s="111" t="e">
        <f>+'EU-15_totals'!K18/('EU-15_totals'!C17+'EU-15_totals'!K18+'EU-15_totals'!L17+'EU-15_totals'!M17+'EU-15_totals'!N17)</f>
        <v>#N/A</v>
      </c>
      <c r="AA17" s="111" t="e">
        <f>+'EU-15_totals'!N17/('EU-15_totals'!C17+'EU-15_totals'!K18+'EU-15_totals'!L17+'EU-15_totals'!M17+'EU-15_totals'!N17)</f>
        <v>#N/A</v>
      </c>
      <c r="AB17" s="111" t="e">
        <f>+'EU-15_totals'!M17/('EU-15_totals'!C17+'EU-15_totals'!K18+'EU-15_totals'!L17+'EU-15_totals'!M17+'EU-15_totals'!N17)</f>
        <v>#N/A</v>
      </c>
      <c r="AC17" s="111" t="e">
        <f t="shared" si="2"/>
        <v>#N/A</v>
      </c>
    </row>
    <row r="18" spans="1:29" ht="11.25">
      <c r="A18" s="25">
        <v>1992</v>
      </c>
      <c r="B18" s="49">
        <f aca="true" t="shared" si="3" ref="B18:B26">SUM(C18:H18)</f>
        <v>1.0000000000000002</v>
      </c>
      <c r="C18" s="49">
        <f>+'EU-15_totals'!C18/'EU-15_totals'!$B18</f>
        <v>0.7796830094810442</v>
      </c>
      <c r="D18" s="79">
        <f>+'EU-15_totals'!D18/'EU-15_totals'!$B18</f>
        <v>0.08689317209474523</v>
      </c>
      <c r="E18" s="79">
        <f>+'EU-15_totals'!F18/'EU-15_totals'!$B18</f>
        <v>0.0632195584027489</v>
      </c>
      <c r="F18" s="49">
        <f>+'EU-15_totals'!G18/'EU-15_totals'!$B18</f>
        <v>0.007435348966395285</v>
      </c>
      <c r="G18" s="49">
        <f>+'EU-15_totals'!H18/'EU-15_totals'!$B18</f>
        <v>0.014406759531976659</v>
      </c>
      <c r="H18" s="49">
        <f>+'EU-15_totals'!I18/'EU-15_totals'!B18</f>
        <v>0.04836215152308978</v>
      </c>
      <c r="I18" s="49"/>
      <c r="J18" s="49" t="e">
        <f>+'EU-15_totals'!C18/'EU-15_totals'!P18</f>
        <v>#N/A</v>
      </c>
      <c r="K18" s="49" t="e">
        <f>+'EU-15_totals'!D18/'EU-15_totals'!P18</f>
        <v>#N/A</v>
      </c>
      <c r="L18" s="49" t="e">
        <f>+'EU-15_totals'!K18/'EU-15_totals'!P18</f>
        <v>#N/A</v>
      </c>
      <c r="M18" s="49" t="e">
        <f>+'EU-15_totals'!F18/'EU-15_totals'!P18</f>
        <v>#N/A</v>
      </c>
      <c r="N18" s="49" t="e">
        <f>+'EU-15_totals'!L18/'EU-15_totals'!P18</f>
        <v>#N/A</v>
      </c>
      <c r="O18" s="49" t="e">
        <f>+'EU-15_totals'!G18/'EU-15_totals'!P18</f>
        <v>#N/A</v>
      </c>
      <c r="P18" s="49" t="e">
        <f>+'EU-15_totals'!H18/'EU-15_totals'!P18</f>
        <v>#N/A</v>
      </c>
      <c r="Q18" s="49" t="e">
        <f>+'EU-15_totals'!I18/'EU-15_totals'!P18</f>
        <v>#N/A</v>
      </c>
      <c r="R18" s="49" t="e">
        <f>+'EU-15_totals'!M18/'EU-15_totals'!P18</f>
        <v>#N/A</v>
      </c>
      <c r="S18" s="49" t="e">
        <f>+'EU-15_totals'!N18/'EU-15_totals'!P18</f>
        <v>#N/A</v>
      </c>
      <c r="U18" s="77" t="e">
        <f aca="true" t="shared" si="4" ref="U18:U26">SUM(J18:T18)</f>
        <v>#N/A</v>
      </c>
      <c r="V18" s="124" t="e">
        <f t="shared" si="0"/>
        <v>#N/A</v>
      </c>
      <c r="W18" s="109"/>
      <c r="X18" s="111" t="e">
        <f>+'EU-15_totals'!C18/('EU-15_totals'!C18+'EU-15_totals'!K19+'EU-15_totals'!L18+'EU-15_totals'!M18+'EU-15_totals'!N18)</f>
        <v>#N/A</v>
      </c>
      <c r="Y18" s="111" t="e">
        <f>+'EU-15_totals'!L18/('EU-15_totals'!C18+'EU-15_totals'!K19+'EU-15_totals'!L18+'EU-15_totals'!M18+'EU-15_totals'!N18)</f>
        <v>#N/A</v>
      </c>
      <c r="Z18" s="111" t="e">
        <f>+'EU-15_totals'!K19/('EU-15_totals'!C18+'EU-15_totals'!K19+'EU-15_totals'!L18+'EU-15_totals'!M18+'EU-15_totals'!N18)</f>
        <v>#N/A</v>
      </c>
      <c r="AA18" s="111" t="e">
        <f>+'EU-15_totals'!N18/('EU-15_totals'!C18+'EU-15_totals'!K19+'EU-15_totals'!L18+'EU-15_totals'!M18+'EU-15_totals'!N18)</f>
        <v>#N/A</v>
      </c>
      <c r="AB18" s="111" t="e">
        <f>+'EU-15_totals'!M18/('EU-15_totals'!C18+'EU-15_totals'!K19+'EU-15_totals'!L18+'EU-15_totals'!M18+'EU-15_totals'!N18)</f>
        <v>#N/A</v>
      </c>
      <c r="AC18" s="111" t="e">
        <f t="shared" si="2"/>
        <v>#N/A</v>
      </c>
    </row>
    <row r="19" spans="1:29" ht="11.25">
      <c r="A19" s="25">
        <v>1993</v>
      </c>
      <c r="B19" s="49">
        <f t="shared" si="3"/>
        <v>1</v>
      </c>
      <c r="C19" s="49">
        <f>+'EU-15_totals'!C19/'EU-15_totals'!$B19</f>
        <v>0.7792251709726535</v>
      </c>
      <c r="D19" s="79">
        <f>+'EU-15_totals'!D19/'EU-15_totals'!$B19</f>
        <v>0.08520522250286729</v>
      </c>
      <c r="E19" s="79">
        <f>+'EU-15_totals'!F19/'EU-15_totals'!$B19</f>
        <v>0.06082686110210564</v>
      </c>
      <c r="F19" s="49">
        <f>+'EU-15_totals'!G19/'EU-15_totals'!$B19</f>
        <v>0.007574540994495269</v>
      </c>
      <c r="G19" s="49">
        <f>+'EU-15_totals'!H19/'EU-15_totals'!$B19</f>
        <v>0.015395263260316745</v>
      </c>
      <c r="H19" s="49">
        <f>+'EU-15_totals'!I19/'EU-15_totals'!B19</f>
        <v>0.05177294116756145</v>
      </c>
      <c r="I19" s="49"/>
      <c r="J19" s="49" t="e">
        <f>+'EU-15_totals'!C19/'EU-15_totals'!P19</f>
        <v>#N/A</v>
      </c>
      <c r="K19" s="49" t="e">
        <f>+'EU-15_totals'!D19/'EU-15_totals'!P19</f>
        <v>#N/A</v>
      </c>
      <c r="L19" s="49" t="e">
        <f>+'EU-15_totals'!K19/'EU-15_totals'!P19</f>
        <v>#N/A</v>
      </c>
      <c r="M19" s="49" t="e">
        <f>+'EU-15_totals'!F19/'EU-15_totals'!P19</f>
        <v>#N/A</v>
      </c>
      <c r="N19" s="49" t="e">
        <f>+'EU-15_totals'!L19/'EU-15_totals'!P19</f>
        <v>#N/A</v>
      </c>
      <c r="O19" s="49" t="e">
        <f>+'EU-15_totals'!G19/'EU-15_totals'!P19</f>
        <v>#N/A</v>
      </c>
      <c r="P19" s="49" t="e">
        <f>+'EU-15_totals'!H19/'EU-15_totals'!P19</f>
        <v>#N/A</v>
      </c>
      <c r="Q19" s="49" t="e">
        <f>+'EU-15_totals'!I19/'EU-15_totals'!P19</f>
        <v>#N/A</v>
      </c>
      <c r="R19" s="49" t="e">
        <f>+'EU-15_totals'!M19/'EU-15_totals'!P19</f>
        <v>#N/A</v>
      </c>
      <c r="S19" s="49" t="e">
        <f>+'EU-15_totals'!N19/'EU-15_totals'!P19</f>
        <v>#N/A</v>
      </c>
      <c r="U19" s="77" t="e">
        <f t="shared" si="4"/>
        <v>#N/A</v>
      </c>
      <c r="V19" s="124" t="e">
        <f t="shared" si="0"/>
        <v>#N/A</v>
      </c>
      <c r="W19" s="109"/>
      <c r="X19" s="111" t="e">
        <f>+'EU-15_totals'!C19/('EU-15_totals'!C19+'EU-15_totals'!K20+'EU-15_totals'!L19+'EU-15_totals'!M19+'EU-15_totals'!N19)</f>
        <v>#N/A</v>
      </c>
      <c r="Y19" s="111" t="e">
        <f>+'EU-15_totals'!L19/('EU-15_totals'!C19+'EU-15_totals'!K20+'EU-15_totals'!L19+'EU-15_totals'!M19+'EU-15_totals'!N19)</f>
        <v>#N/A</v>
      </c>
      <c r="Z19" s="111" t="e">
        <f>+'EU-15_totals'!K20/('EU-15_totals'!C19+'EU-15_totals'!K20+'EU-15_totals'!L19+'EU-15_totals'!M19+'EU-15_totals'!N19)</f>
        <v>#N/A</v>
      </c>
      <c r="AA19" s="111" t="e">
        <f>+'EU-15_totals'!N19/('EU-15_totals'!C19+'EU-15_totals'!K20+'EU-15_totals'!L19+'EU-15_totals'!M19+'EU-15_totals'!N19)</f>
        <v>#N/A</v>
      </c>
      <c r="AB19" s="111" t="e">
        <f>+'EU-15_totals'!M19/('EU-15_totals'!C19+'EU-15_totals'!K20+'EU-15_totals'!L19+'EU-15_totals'!M19+'EU-15_totals'!N19)</f>
        <v>#N/A</v>
      </c>
      <c r="AC19" s="111" t="e">
        <f t="shared" si="2"/>
        <v>#N/A</v>
      </c>
    </row>
    <row r="20" spans="1:29" ht="11.25">
      <c r="A20" s="25">
        <v>1994</v>
      </c>
      <c r="B20" s="49">
        <f t="shared" si="3"/>
        <v>0.9999999999999998</v>
      </c>
      <c r="C20" s="49">
        <f>+'EU-15_totals'!C20/'EU-15_totals'!$B20</f>
        <v>0.7756838285579711</v>
      </c>
      <c r="D20" s="79">
        <f>+'EU-15_totals'!D20/'EU-15_totals'!$B20</f>
        <v>0.08489158008017299</v>
      </c>
      <c r="E20" s="79">
        <f>+'EU-15_totals'!F20/'EU-15_totals'!$B20</f>
        <v>0.06001602005715904</v>
      </c>
      <c r="F20" s="49">
        <f>+'EU-15_totals'!G20/'EU-15_totals'!$B20</f>
        <v>0.007671888600129464</v>
      </c>
      <c r="G20" s="49">
        <f>+'EU-15_totals'!H20/'EU-15_totals'!$B20</f>
        <v>0.01648249462563425</v>
      </c>
      <c r="H20" s="49">
        <f>+'EU-15_totals'!I20/'EU-15_totals'!B20</f>
        <v>0.055254188078933016</v>
      </c>
      <c r="I20" s="49"/>
      <c r="J20" s="49">
        <f>+'EU-15_totals'!C20/'EU-15_totals'!P20</f>
        <v>0.7125160626159683</v>
      </c>
      <c r="K20" s="49">
        <f>+'EU-15_totals'!D20/'EU-15_totals'!P20</f>
        <v>0.0779784393602999</v>
      </c>
      <c r="L20" s="49">
        <f>+'EU-15_totals'!K20/'EU-15_totals'!P20</f>
        <v>0.010164454221224374</v>
      </c>
      <c r="M20" s="49">
        <f>+'EU-15_totals'!F20/'EU-15_totals'!P20</f>
        <v>0.055128619072161135</v>
      </c>
      <c r="N20" s="49">
        <f>+'EU-15_totals'!L20/'EU-15_totals'!P20</f>
        <v>0.027125095607761208</v>
      </c>
      <c r="O20" s="49">
        <f>+'EU-15_totals'!G20/'EU-15_totals'!P20</f>
        <v>0.007047128813236627</v>
      </c>
      <c r="P20" s="49">
        <f>+'EU-15_totals'!H20/'EU-15_totals'!P20</f>
        <v>0.015140243666776501</v>
      </c>
      <c r="Q20" s="49">
        <f>+'EU-15_totals'!I20/'EU-15_totals'!P20</f>
        <v>0.05075456659478524</v>
      </c>
      <c r="R20" s="49">
        <f>+'EU-15_totals'!M20/'EU-15_totals'!P20</f>
        <v>0.01480887052855389</v>
      </c>
      <c r="S20" s="49">
        <f>+'EU-15_totals'!N20/'EU-15_totals'!P20</f>
        <v>0.029336519519232784</v>
      </c>
      <c r="U20" s="77">
        <f t="shared" si="4"/>
        <v>1</v>
      </c>
      <c r="V20" s="124">
        <f t="shared" si="0"/>
        <v>0.07744156055894615</v>
      </c>
      <c r="W20" s="109"/>
      <c r="X20" s="111">
        <f>+'EU-15_totals'!C20/('EU-15_totals'!C20+'EU-15_totals'!K21+'EU-15_totals'!L20+'EU-15_totals'!M20+'EU-15_totals'!N20)</f>
        <v>0.8975198839755698</v>
      </c>
      <c r="Y20" s="111">
        <f>+'EU-15_totals'!L20/('EU-15_totals'!C20+'EU-15_totals'!K21+'EU-15_totals'!L20+'EU-15_totals'!M20+'EU-15_totals'!N20)</f>
        <v>0.034168089591301895</v>
      </c>
      <c r="Z20" s="111">
        <f>+'EU-15_totals'!K21/('EU-15_totals'!C20+'EU-15_totals'!K21+'EU-15_totals'!L20+'EU-15_totals'!M20+'EU-15_totals'!N20)</f>
        <v>0.012704346224098585</v>
      </c>
      <c r="AA20" s="111">
        <f>+'EU-15_totals'!N20/('EU-15_totals'!C20+'EU-15_totals'!K21+'EU-15_totals'!L20+'EU-15_totals'!M20+'EU-15_totals'!N20)</f>
        <v>0.03695370669747306</v>
      </c>
      <c r="AB20" s="111">
        <f>+'EU-15_totals'!M20/('EU-15_totals'!C20+'EU-15_totals'!K21+'EU-15_totals'!L20+'EU-15_totals'!M20+'EU-15_totals'!N20)</f>
        <v>0.018653973511556662</v>
      </c>
      <c r="AC20" s="111">
        <f t="shared" si="2"/>
        <v>1</v>
      </c>
    </row>
    <row r="21" spans="1:29" ht="11.25">
      <c r="A21" s="25">
        <v>1995</v>
      </c>
      <c r="B21" s="49">
        <f t="shared" si="3"/>
        <v>1.0000000000000002</v>
      </c>
      <c r="C21" s="49">
        <f>+'EU-15_totals'!C21/'EU-15_totals'!$B21</f>
        <v>0.770938902396014</v>
      </c>
      <c r="D21" s="79">
        <f>+'EU-15_totals'!D21/'EU-15_totals'!$B21</f>
        <v>0.08375221861514341</v>
      </c>
      <c r="E21" s="79">
        <f>+'EU-15_totals'!F21/'EU-15_totals'!$B21</f>
        <v>0.061609225330606816</v>
      </c>
      <c r="F21" s="49">
        <f>+'EU-15_totals'!G21/'EU-15_totals'!$B21</f>
        <v>0.006452607034865614</v>
      </c>
      <c r="G21" s="49">
        <f>+'EU-15_totals'!H21/'EU-15_totals'!$B21</f>
        <v>0.017554598216915844</v>
      </c>
      <c r="H21" s="49">
        <f>+'EU-15_totals'!I21/'EU-15_totals'!B21</f>
        <v>0.059692448406454546</v>
      </c>
      <c r="I21" s="49"/>
      <c r="J21" s="49">
        <f>+'EU-15_totals'!C21/'EU-15_totals'!P21</f>
        <v>0.7087330047463012</v>
      </c>
      <c r="K21" s="49">
        <f>+'EU-15_totals'!D21/'EU-15_totals'!P21</f>
        <v>0.07699437837265714</v>
      </c>
      <c r="L21" s="49">
        <f>+'EU-15_totals'!K21/'EU-15_totals'!P21</f>
        <v>0.00987812838906265</v>
      </c>
      <c r="M21" s="49">
        <f>+'EU-15_totals'!F21/'EU-15_totals'!P21</f>
        <v>0.056638069830108835</v>
      </c>
      <c r="N21" s="49">
        <f>+'EU-15_totals'!L21/'EU-15_totals'!P21</f>
        <v>0.02688461803767659</v>
      </c>
      <c r="O21" s="49">
        <f>+'EU-15_totals'!G21/'EU-15_totals'!P21</f>
        <v>0.005931955902153048</v>
      </c>
      <c r="P21" s="49">
        <f>+'EU-15_totals'!H21/'EU-15_totals'!P21</f>
        <v>0.016138144154772327</v>
      </c>
      <c r="Q21" s="49">
        <f>+'EU-15_totals'!I21/'EU-15_totals'!P21</f>
        <v>0.0548759547459423</v>
      </c>
      <c r="R21" s="49">
        <f>+'EU-15_totals'!M21/'EU-15_totals'!P21</f>
        <v>0.014775459890780022</v>
      </c>
      <c r="S21" s="49">
        <f>+'EU-15_totals'!N21/'EU-15_totals'!P21</f>
        <v>0.029150285930546093</v>
      </c>
      <c r="U21" s="77">
        <f t="shared" si="4"/>
        <v>1.0000000000000002</v>
      </c>
      <c r="V21" s="124">
        <f t="shared" si="0"/>
        <v>0.08176254846337992</v>
      </c>
      <c r="W21" s="109"/>
      <c r="X21" s="112">
        <f>+'EU-15_totals'!C21/('EU-15_totals'!C21+'EU-15_totals'!K22+'EU-15_totals'!L21+'EU-15_totals'!M21+'EU-15_totals'!N21)</f>
        <v>0.89757429406061</v>
      </c>
      <c r="Y21" s="112">
        <f>+'EU-15_totals'!L21/('EU-15_totals'!C21+'EU-15_totals'!K22+'EU-15_totals'!L21+'EU-15_totals'!M21+'EU-15_totals'!N21)</f>
        <v>0.034048001002711374</v>
      </c>
      <c r="Z21" s="112">
        <f>+'EU-15_totals'!K22/('EU-15_totals'!C21+'EU-15_totals'!K22+'EU-15_totals'!L21+'EU-15_totals'!M21+'EU-15_totals'!N21)</f>
        <v>0.012747982555151242</v>
      </c>
      <c r="AA21" s="112">
        <f>+'EU-15_totals'!N21/('EU-15_totals'!C21+'EU-15_totals'!K22+'EU-15_totals'!L21+'EU-15_totals'!M21+'EU-15_totals'!N21)</f>
        <v>0.03691735412426677</v>
      </c>
      <c r="AB21" s="112">
        <f>+'EU-15_totals'!M21/('EU-15_totals'!C21+'EU-15_totals'!K22+'EU-15_totals'!L21+'EU-15_totals'!M21+'EU-15_totals'!N21)</f>
        <v>0.018712368257260775</v>
      </c>
      <c r="AC21" s="111">
        <f t="shared" si="2"/>
        <v>1</v>
      </c>
    </row>
    <row r="22" spans="1:29" ht="11.25">
      <c r="A22" s="25">
        <v>1996</v>
      </c>
      <c r="B22" s="49">
        <f t="shared" si="3"/>
        <v>1.0000000000000004</v>
      </c>
      <c r="C22" s="49">
        <f>+'EU-15_totals'!C22/'EU-15_totals'!$B22</f>
        <v>0.7665575342834361</v>
      </c>
      <c r="D22" s="79">
        <f>+'EU-15_totals'!D22/'EU-15_totals'!$B22</f>
        <v>0.0826964499378224</v>
      </c>
      <c r="E22" s="79">
        <f>+'EU-15_totals'!F22/'EU-15_totals'!$B22</f>
        <v>0.062266402658009264</v>
      </c>
      <c r="F22" s="49">
        <f>+'EU-15_totals'!G22/'EU-15_totals'!$B22</f>
        <v>0.006852262935746787</v>
      </c>
      <c r="G22" s="49">
        <f>+'EU-15_totals'!H22/'EU-15_totals'!$B22</f>
        <v>0.01824730153885994</v>
      </c>
      <c r="H22" s="49">
        <f>+'EU-15_totals'!I22/'EU-15_totals'!B22</f>
        <v>0.06338004864612579</v>
      </c>
      <c r="I22" s="49"/>
      <c r="J22" s="49">
        <f>+'EU-15_totals'!C22/'EU-15_totals'!P22</f>
        <v>0.7054892642823574</v>
      </c>
      <c r="K22" s="49">
        <f>+'EU-15_totals'!D22/'EU-15_totals'!P22</f>
        <v>0.0761083871935766</v>
      </c>
      <c r="L22" s="49">
        <f>+'EU-15_totals'!K22/'EU-15_totals'!P22</f>
        <v>0.009872172177777373</v>
      </c>
      <c r="M22" s="49">
        <f>+'EU-15_totals'!F22/'EU-15_totals'!P22</f>
        <v>0.05730591199755322</v>
      </c>
      <c r="N22" s="49">
        <f>+'EU-15_totals'!L22/'EU-15_totals'!P22</f>
        <v>0.0270815539138021</v>
      </c>
      <c r="O22" s="49">
        <f>+'EU-15_totals'!G22/'EU-15_totals'!P22</f>
        <v>0.006306373260981886</v>
      </c>
      <c r="P22" s="49">
        <f>+'EU-15_totals'!H22/'EU-15_totals'!P22</f>
        <v>0.016793619215839196</v>
      </c>
      <c r="Q22" s="49">
        <f>+'EU-15_totals'!I22/'EU-15_totals'!P22</f>
        <v>0.058330838703885515</v>
      </c>
      <c r="R22" s="49">
        <f>+'EU-15_totals'!M22/'EU-15_totals'!P22</f>
        <v>0.014163620158042536</v>
      </c>
      <c r="S22" s="49">
        <f>+'EU-15_totals'!N22/'EU-15_totals'!P22</f>
        <v>0.028548259096184574</v>
      </c>
      <c r="U22" s="77">
        <f t="shared" si="4"/>
        <v>1.0000000000000004</v>
      </c>
      <c r="V22" s="124">
        <f t="shared" si="0"/>
        <v>0.08648004112294685</v>
      </c>
      <c r="W22" s="109"/>
      <c r="X22" s="112">
        <f>+'EU-15_totals'!C22/('EU-15_totals'!C22+'EU-15_totals'!K23+'EU-15_totals'!L22+'EU-15_totals'!M22+'EU-15_totals'!N22)</f>
        <v>0.8983743040725913</v>
      </c>
      <c r="Y22" s="112">
        <f>+'EU-15_totals'!L22/('EU-15_totals'!C22+'EU-15_totals'!K23+'EU-15_totals'!L22+'EU-15_totals'!M22+'EU-15_totals'!N22)</f>
        <v>0.03448581485540367</v>
      </c>
      <c r="Z22" s="112">
        <f>+'EU-15_totals'!K23/('EU-15_totals'!C22+'EU-15_totals'!K23+'EU-15_totals'!L22+'EU-15_totals'!M22+'EU-15_totals'!N22)</f>
        <v>0.0127503152156328</v>
      </c>
      <c r="AA22" s="112">
        <f>+'EU-15_totals'!N22/('EU-15_totals'!C22+'EU-15_totals'!K23+'EU-15_totals'!L22+'EU-15_totals'!M22+'EU-15_totals'!N22)</f>
        <v>0.036353526122197874</v>
      </c>
      <c r="AB22" s="112">
        <f>+'EU-15_totals'!M22/('EU-15_totals'!C22+'EU-15_totals'!K23+'EU-15_totals'!L22+'EU-15_totals'!M22+'EU-15_totals'!N22)</f>
        <v>0.018036039734174295</v>
      </c>
      <c r="AC22" s="111">
        <f t="shared" si="2"/>
        <v>1</v>
      </c>
    </row>
    <row r="23" spans="1:29" ht="11.25">
      <c r="A23" s="25">
        <v>1997</v>
      </c>
      <c r="B23" s="49">
        <f t="shared" si="3"/>
        <v>1</v>
      </c>
      <c r="C23" s="49">
        <f>+'EU-15_totals'!C23/'EU-15_totals'!$B23</f>
        <v>0.7610398503353444</v>
      </c>
      <c r="D23" s="79">
        <f>+'EU-15_totals'!D23/'EU-15_totals'!$B23</f>
        <v>0.08213992760789525</v>
      </c>
      <c r="E23" s="79">
        <f>+'EU-15_totals'!F23/'EU-15_totals'!$B23</f>
        <v>0.061189739475682965</v>
      </c>
      <c r="F23" s="49">
        <f>+'EU-15_totals'!G23/'EU-15_totals'!$B23</f>
        <v>0.008335255109495742</v>
      </c>
      <c r="G23" s="49">
        <f>+'EU-15_totals'!H23/'EU-15_totals'!$B23</f>
        <v>0.019607728356839004</v>
      </c>
      <c r="H23" s="49">
        <f>+'EU-15_totals'!I23/'EU-15_totals'!B23</f>
        <v>0.06768749911474271</v>
      </c>
      <c r="I23" s="49"/>
      <c r="J23" s="49">
        <f>+'EU-15_totals'!C23/'EU-15_totals'!P23</f>
        <v>0.7007019605440783</v>
      </c>
      <c r="K23" s="49">
        <f>+'EU-15_totals'!D23/'EU-15_totals'!P23</f>
        <v>0.0756275880802294</v>
      </c>
      <c r="L23" s="49">
        <f>+'EU-15_totals'!K23/'EU-15_totals'!P23</f>
        <v>0.009771532462548251</v>
      </c>
      <c r="M23" s="49">
        <f>+'EU-15_totals'!F23/'EU-15_totals'!P23</f>
        <v>0.05633840382589646</v>
      </c>
      <c r="N23" s="49">
        <f>+'EU-15_totals'!L23/'EU-15_totals'!P23</f>
        <v>0.02722995586365843</v>
      </c>
      <c r="O23" s="49">
        <f>+'EU-15_totals'!G23/'EU-15_totals'!P23</f>
        <v>0.0076744070554060255</v>
      </c>
      <c r="P23" s="49">
        <f>+'EU-15_totals'!H23/'EU-15_totals'!P23</f>
        <v>0.018053159365306277</v>
      </c>
      <c r="Q23" s="49">
        <f>+'EU-15_totals'!I23/'EU-15_totals'!P23</f>
        <v>0.06232099845116754</v>
      </c>
      <c r="R23" s="49">
        <f>+'EU-15_totals'!M23/'EU-15_totals'!P23</f>
        <v>0.014121958436584845</v>
      </c>
      <c r="S23" s="49">
        <f>+'EU-15_totals'!N23/'EU-15_totals'!P23</f>
        <v>0.028160035915124643</v>
      </c>
      <c r="U23" s="77">
        <f t="shared" si="4"/>
        <v>1.0000000000000002</v>
      </c>
      <c r="V23" s="124">
        <f t="shared" si="0"/>
        <v>0.09341506553545502</v>
      </c>
      <c r="W23" s="109"/>
      <c r="X23" s="112">
        <f>+'EU-15_totals'!C23/('EU-15_totals'!C23+'EU-15_totals'!K24+'EU-15_totals'!L23+'EU-15_totals'!M23+'EU-15_totals'!N23)</f>
        <v>0.898143568613179</v>
      </c>
      <c r="Y23" s="112">
        <f>+'EU-15_totals'!L23/('EU-15_totals'!C23+'EU-15_totals'!K24+'EU-15_totals'!L23+'EU-15_totals'!M23+'EU-15_totals'!N23)</f>
        <v>0.03490272770690655</v>
      </c>
      <c r="Z23" s="112">
        <f>+'EU-15_totals'!K24/('EU-15_totals'!C23+'EU-15_totals'!K24+'EU-15_totals'!L23+'EU-15_totals'!M23+'EU-15_totals'!N23)</f>
        <v>0.012757621132008205</v>
      </c>
      <c r="AA23" s="112">
        <f>+'EU-15_totals'!N23/('EU-15_totals'!C23+'EU-15_totals'!K24+'EU-15_totals'!L23+'EU-15_totals'!M23+'EU-15_totals'!N23)</f>
        <v>0.03609488280787297</v>
      </c>
      <c r="AB23" s="112">
        <f>+'EU-15_totals'!M23/('EU-15_totals'!C23+'EU-15_totals'!K24+'EU-15_totals'!L23+'EU-15_totals'!M23+'EU-15_totals'!N23)</f>
        <v>0.018101199740033314</v>
      </c>
      <c r="AC23" s="111">
        <f t="shared" si="2"/>
        <v>1</v>
      </c>
    </row>
    <row r="24" spans="1:29" ht="11.25">
      <c r="A24" s="25">
        <v>1998</v>
      </c>
      <c r="B24" s="49">
        <f t="shared" si="3"/>
        <v>1</v>
      </c>
      <c r="C24" s="89">
        <f>+'EU-15_totals'!C24/'EU-15_totals'!$B24</f>
        <v>0.761025728352918</v>
      </c>
      <c r="D24" s="79">
        <f>+'EU-15_totals'!D24/'EU-15_totals'!$B24</f>
        <v>0.07991384788751084</v>
      </c>
      <c r="E24" s="79">
        <f>+'EU-15_totals'!F24/'EU-15_totals'!$B24</f>
        <v>0.059698624799134674</v>
      </c>
      <c r="F24" s="49">
        <f>+'EU-15_totals'!G24/'EU-15_totals'!$B24</f>
        <v>0.008956304969388634</v>
      </c>
      <c r="G24" s="49">
        <f>+'EU-15_totals'!H24/'EU-15_totals'!$B24</f>
        <v>0.02036106942676862</v>
      </c>
      <c r="H24" s="49">
        <f>+'EU-15_totals'!I24/'EU-15_totals'!B24</f>
        <v>0.07004442456427923</v>
      </c>
      <c r="I24" s="49"/>
      <c r="J24" s="49">
        <f>+'EU-15_totals'!C24/'EU-15_totals'!P24</f>
        <v>0.7015176437392717</v>
      </c>
      <c r="K24" s="49">
        <f>+'EU-15_totals'!D24/'EU-15_totals'!P24</f>
        <v>0.07366501838711485</v>
      </c>
      <c r="L24" s="49">
        <f>+'EU-15_totals'!K24/'EU-15_totals'!P24</f>
        <v>0.009641937934934876</v>
      </c>
      <c r="M24" s="49">
        <f>+'EU-15_totals'!F24/'EU-15_totals'!P24</f>
        <v>0.05503051610909868</v>
      </c>
      <c r="N24" s="49">
        <f>+'EU-15_totals'!L24/'EU-15_totals'!P24</f>
        <v>0.027418269451545692</v>
      </c>
      <c r="O24" s="49">
        <f>+'EU-15_totals'!G24/'EU-15_totals'!P24</f>
        <v>0.008255970494366998</v>
      </c>
      <c r="P24" s="49">
        <f>+'EU-15_totals'!H24/'EU-15_totals'!P24</f>
        <v>0.018768944223728726</v>
      </c>
      <c r="Q24" s="49">
        <f>+'EU-15_totals'!I24/'EU-15_totals'!P24</f>
        <v>0.06456733044197338</v>
      </c>
      <c r="R24" s="49">
        <f>+'EU-15_totals'!M24/'EU-15_totals'!P24</f>
        <v>0.013622458664394509</v>
      </c>
      <c r="S24" s="49">
        <f>+'EU-15_totals'!N24/'EU-15_totals'!P24</f>
        <v>0.027511910553570506</v>
      </c>
      <c r="U24" s="77">
        <f t="shared" si="4"/>
        <v>0.9999999999999999</v>
      </c>
      <c r="V24" s="124">
        <f t="shared" si="0"/>
        <v>0.09706933928237495</v>
      </c>
      <c r="W24" s="109"/>
      <c r="X24" s="112">
        <f>+'EU-15_totals'!C24/('EU-15_totals'!C24+'EU-15_totals'!K25+'EU-15_totals'!L24+'EU-15_totals'!M24+'EU-15_totals'!N24)</f>
        <v>0.899422518730521</v>
      </c>
      <c r="Y24" s="112">
        <f>+'EU-15_totals'!L24/('EU-15_totals'!C24+'EU-15_totals'!K25+'EU-15_totals'!L24+'EU-15_totals'!M24+'EU-15_totals'!N24)</f>
        <v>0.03515322699211649</v>
      </c>
      <c r="Z24" s="112">
        <f>+'EU-15_totals'!K25/('EU-15_totals'!C24+'EU-15_totals'!K25+'EU-15_totals'!L24+'EU-15_totals'!M24+'EU-15_totals'!N24)</f>
        <v>0.01268548384358038</v>
      </c>
      <c r="AA24" s="112">
        <f>+'EU-15_totals'!N24/('EU-15_totals'!C24+'EU-15_totals'!K25+'EU-15_totals'!L24+'EU-15_totals'!M24+'EU-15_totals'!N24)</f>
        <v>0.03527328514972879</v>
      </c>
      <c r="AB24" s="112">
        <f>+'EU-15_totals'!M24/('EU-15_totals'!C24+'EU-15_totals'!K25+'EU-15_totals'!L24+'EU-15_totals'!M24+'EU-15_totals'!N24)</f>
        <v>0.01746548528405347</v>
      </c>
      <c r="AC24" s="111">
        <f t="shared" si="2"/>
        <v>1.0000000000000002</v>
      </c>
    </row>
    <row r="25" spans="1:29" ht="11.25">
      <c r="A25" s="25">
        <v>1999</v>
      </c>
      <c r="B25" s="49">
        <f t="shared" si="3"/>
        <v>1</v>
      </c>
      <c r="C25" s="49">
        <f>+'EU-15_totals'!C25/'EU-15_totals'!$B25</f>
        <v>0.7571616666336074</v>
      </c>
      <c r="D25" s="79">
        <f>+'EU-15_totals'!D25/'EU-15_totals'!$B25</f>
        <v>0.07926716805563211</v>
      </c>
      <c r="E25" s="79">
        <f>+'EU-15_totals'!F25/'EU-15_totals'!$B25</f>
        <v>0.059751755814321336</v>
      </c>
      <c r="F25" s="49">
        <f>+'EU-15_totals'!G25/'EU-15_totals'!$B25</f>
        <v>0.009519573998435287</v>
      </c>
      <c r="G25" s="49">
        <f>+'EU-15_totals'!H25/'EU-15_totals'!$B25</f>
        <v>0.020244018047177608</v>
      </c>
      <c r="H25" s="49">
        <f>+'EU-15_totals'!I25/'EU-15_totals'!B25</f>
        <v>0.07405581745082633</v>
      </c>
      <c r="I25" s="49"/>
      <c r="J25" s="49">
        <f>+'EU-15_totals'!C25/'EU-15_totals'!P25</f>
        <v>0.6981021968436636</v>
      </c>
      <c r="K25" s="49">
        <f>+'EU-15_totals'!D25/'EU-15_totals'!P25</f>
        <v>0.07308423893571221</v>
      </c>
      <c r="L25" s="49">
        <f>+'EU-15_totals'!K25/'EU-15_totals'!P25</f>
        <v>0.009673861446126218</v>
      </c>
      <c r="M25" s="49">
        <f>+'EU-15_totals'!F25/'EU-15_totals'!P25</f>
        <v>0.05509105100988799</v>
      </c>
      <c r="N25" s="49">
        <f>+'EU-15_totals'!L25/'EU-15_totals'!P25</f>
        <v>0.027919891552648523</v>
      </c>
      <c r="O25" s="49">
        <f>+'EU-15_totals'!G25/'EU-15_totals'!P25</f>
        <v>0.008777036416635357</v>
      </c>
      <c r="P25" s="49">
        <f>+'EU-15_totals'!H25/'EU-15_totals'!P25</f>
        <v>0.018664961651467447</v>
      </c>
      <c r="Q25" s="49">
        <f>+'EU-15_totals'!I25/'EU-15_totals'!P25</f>
        <v>0.06827937959581389</v>
      </c>
      <c r="R25" s="49">
        <f>+'EU-15_totals'!M25/'EU-15_totals'!P25</f>
        <v>0.01337580646960471</v>
      </c>
      <c r="S25" s="49">
        <f>+'EU-15_totals'!N25/'EU-15_totals'!P25</f>
        <v>0.0270315760784403</v>
      </c>
      <c r="U25" s="77">
        <f t="shared" si="4"/>
        <v>1.0000000000000002</v>
      </c>
      <c r="V25" s="124">
        <f t="shared" si="0"/>
        <v>0.10149781551892913</v>
      </c>
      <c r="W25" s="109"/>
      <c r="X25" s="111">
        <f>+'EU-15_totals'!C25/('EU-15_totals'!C25+'EU-15_totals'!K26+'EU-15_totals'!L25+'EU-15_totals'!M25+'EU-15_totals'!N25)</f>
        <v>0.8990669513526753</v>
      </c>
      <c r="Y25" s="111">
        <f>+'EU-15_totals'!L25/('EU-15_totals'!C25+'EU-15_totals'!K26+'EU-15_totals'!L25+'EU-15_totals'!M25+'EU-15_totals'!N25)</f>
        <v>0.035957273725580975</v>
      </c>
      <c r="Z25" s="111">
        <f>+'EU-15_totals'!K26/('EU-15_totals'!C25+'EU-15_totals'!K26+'EU-15_totals'!L25+'EU-15_totals'!M25+'EU-15_totals'!N25)</f>
        <v>0.012936199048946783</v>
      </c>
      <c r="AA25" s="111">
        <f>+'EU-15_totals'!N25/('EU-15_totals'!C25+'EU-15_totals'!K26+'EU-15_totals'!L25+'EU-15_totals'!M25+'EU-15_totals'!N25)</f>
        <v>0.03481323623530124</v>
      </c>
      <c r="AB25" s="111">
        <f>+'EU-15_totals'!M25/('EU-15_totals'!C25+'EU-15_totals'!K26+'EU-15_totals'!L25+'EU-15_totals'!M25+'EU-15_totals'!N25)</f>
        <v>0.017226339637495803</v>
      </c>
      <c r="AC25" s="111">
        <f t="shared" si="2"/>
        <v>1.0000000000000002</v>
      </c>
    </row>
    <row r="26" spans="1:29" ht="11.25">
      <c r="A26" s="25">
        <v>2000</v>
      </c>
      <c r="B26" s="49">
        <f t="shared" si="3"/>
        <v>1</v>
      </c>
      <c r="C26" s="49">
        <f>+'EU-15_totals'!C26/'EU-15_totals'!$B26</f>
        <v>0.7477471904740928</v>
      </c>
      <c r="D26" s="79">
        <f>+'EU-15_totals'!D26/'EU-15_totals'!$B26</f>
        <v>0.08084606978372255</v>
      </c>
      <c r="E26" s="79">
        <f>+'EU-15_totals'!F26/'EU-15_totals'!$B26</f>
        <v>0.06114883192158493</v>
      </c>
      <c r="F26" s="49">
        <f>+'EU-15_totals'!G26/'EU-15_totals'!$B26</f>
        <v>0.010011708752269768</v>
      </c>
      <c r="G26" s="49">
        <f>+'EU-15_totals'!H26/'EU-15_totals'!$B26</f>
        <v>0.02171020393601736</v>
      </c>
      <c r="H26" s="49">
        <f>+'EU-15_totals'!I26/'EU-15_totals'!B26</f>
        <v>0.07853599513231252</v>
      </c>
      <c r="I26" s="49"/>
      <c r="J26" s="49">
        <f>+'EU-15_totals'!C26/'EU-15_totals'!P26</f>
        <v>0.6891079139553902</v>
      </c>
      <c r="K26" s="49">
        <f>+'EU-15_totals'!D26/'EU-15_totals'!P26</f>
        <v>0.07450601915980477</v>
      </c>
      <c r="L26" s="49">
        <f>+'EU-15_totals'!K26/'EU-15_totals'!P26</f>
        <v>0.009953292372785189</v>
      </c>
      <c r="M26" s="49">
        <f>+'EU-15_totals'!F26/'EU-15_totals'!P26</f>
        <v>0.05635346350091317</v>
      </c>
      <c r="N26" s="49">
        <f>+'EU-15_totals'!L26/'EU-15_totals'!P26</f>
        <v>0.028146823653291853</v>
      </c>
      <c r="O26" s="49">
        <f>+'EU-15_totals'!G26/'EU-15_totals'!P26</f>
        <v>0.00922657794144474</v>
      </c>
      <c r="P26" s="49">
        <f>+'EU-15_totals'!H26/'EU-15_totals'!P26</f>
        <v>0.020007662397781175</v>
      </c>
      <c r="Q26" s="49">
        <f>+'EU-15_totals'!I26/'EU-15_totals'!P26</f>
        <v>0.07237710347226459</v>
      </c>
      <c r="R26" s="49">
        <f>+'EU-15_totals'!M26/'EU-15_totals'!P26</f>
        <v>0.013291675370135552</v>
      </c>
      <c r="S26" s="49">
        <f>+'EU-15_totals'!N26/'EU-15_totals'!P26</f>
        <v>0.02702946817618879</v>
      </c>
      <c r="U26" s="77">
        <f t="shared" si="4"/>
        <v>1.0000000000000002</v>
      </c>
      <c r="V26" s="124">
        <f t="shared" si="0"/>
        <v>0.10777023547153844</v>
      </c>
      <c r="W26" s="109"/>
      <c r="X26" s="111">
        <f>+'EU-15_totals'!C26/('EU-15_totals'!C26+'EU-15_totals'!K27+'EU-15_totals'!L26+'EU-15_totals'!M26+'EU-15_totals'!N26)</f>
        <v>0.9096222980393339</v>
      </c>
      <c r="Y26" s="111">
        <f>+'EU-15_totals'!L26/('EU-15_totals'!C26+'EU-15_totals'!K27+'EU-15_totals'!L26+'EU-15_totals'!M26+'EU-15_totals'!N26)</f>
        <v>0.03715380116164598</v>
      </c>
      <c r="Z26" s="111">
        <f>+'EU-15_totals'!K27/('EU-15_totals'!C26+'EU-15_totals'!K27+'EU-15_totals'!L26+'EU-15_totals'!M26+'EU-15_totals'!N26)</f>
        <v>0</v>
      </c>
      <c r="AA26" s="111">
        <f>+'EU-15_totals'!N26/('EU-15_totals'!C26+'EU-15_totals'!K27+'EU-15_totals'!L26+'EU-15_totals'!M26+'EU-15_totals'!N26)</f>
        <v>0.035678892172463894</v>
      </c>
      <c r="AB26" s="111">
        <f>+'EU-15_totals'!M26/('EU-15_totals'!C26+'EU-15_totals'!K27+'EU-15_totals'!L26+'EU-15_totals'!M26+'EU-15_totals'!N26)</f>
        <v>0.01754500862655627</v>
      </c>
      <c r="AC26" s="111">
        <f t="shared" si="2"/>
        <v>1</v>
      </c>
    </row>
    <row r="27" spans="1:29" ht="11.25">
      <c r="A27" s="25">
        <v>2001</v>
      </c>
      <c r="B27" s="49" t="e">
        <f>SUM(C27:H27)</f>
        <v>#N/A</v>
      </c>
      <c r="C27" s="49" t="e">
        <f>+'EU-15_totals'!C27/'EU-15_totals'!$B27</f>
        <v>#N/A</v>
      </c>
      <c r="D27" s="49" t="e">
        <f>+'EU-15_totals'!D27/'EU-15_totals'!$B27</f>
        <v>#N/A</v>
      </c>
      <c r="E27" s="49" t="e">
        <f>+'EU-15_totals'!F27/'EU-15_totals'!$B27</f>
        <v>#N/A</v>
      </c>
      <c r="F27" s="49" t="e">
        <f>+'EU-15_totals'!G27/'EU-15_totals'!$B27</f>
        <v>#N/A</v>
      </c>
      <c r="G27" s="49" t="e">
        <f>+'EU-15_totals'!H27/'EU-15_totals'!$B27</f>
        <v>#N/A</v>
      </c>
      <c r="H27" s="49" t="e">
        <f>+'EU-15_totals'!I27/'EU-15_totals'!B27</f>
        <v>#N/A</v>
      </c>
      <c r="I27" s="49"/>
      <c r="J27" s="49" t="e">
        <f>+'EU-15_totals'!C27/'EU-15_totals'!P27</f>
        <v>#N/A</v>
      </c>
      <c r="K27" s="49" t="e">
        <f>+'EU-15_totals'!D27/'EU-15_totals'!P27</f>
        <v>#N/A</v>
      </c>
      <c r="L27" s="49" t="e">
        <f>+'EU-15_totals'!K27/'EU-15_totals'!P27</f>
        <v>#N/A</v>
      </c>
      <c r="M27" s="49" t="e">
        <f>+'EU-15_totals'!F27/'EU-15_totals'!Q27</f>
        <v>#N/A</v>
      </c>
      <c r="N27" s="49" t="e">
        <f>+'EU-15_totals'!L27/'EU-15_totals'!P27</f>
        <v>#N/A</v>
      </c>
      <c r="O27" s="49" t="e">
        <f>+'EU-15_totals'!G27/'EU-15_totals'!P27</f>
        <v>#N/A</v>
      </c>
      <c r="P27" s="49" t="e">
        <f>+'EU-15_totals'!H27/'EU-15_totals'!P27</f>
        <v>#N/A</v>
      </c>
      <c r="Q27" s="49" t="e">
        <f>+'EU-15_totals'!I27/'EU-15_totals'!Q27</f>
        <v>#N/A</v>
      </c>
      <c r="R27" s="49" t="e">
        <f>+'EU-15_totals'!M27/'EU-15_totals'!P27</f>
        <v>#N/A</v>
      </c>
      <c r="S27" s="49" t="e">
        <f>+'EU-15_totals'!N27/'EU-15_totals'!P27</f>
        <v>#N/A</v>
      </c>
      <c r="V27" s="124" t="e">
        <f t="shared" si="0"/>
        <v>#N/A</v>
      </c>
      <c r="W27" s="109"/>
      <c r="X27" s="111" t="e">
        <f>+'EU-15_totals'!C27/('EU-15_totals'!C27+'EU-15_totals'!K28+'EU-15_totals'!L27+'EU-15_totals'!M27+'EU-15_totals'!N27)</f>
        <v>#N/A</v>
      </c>
      <c r="Y27" s="111" t="e">
        <f>+'EU-15_totals'!L27/('EU-15_totals'!C27+'EU-15_totals'!K28+'EU-15_totals'!L27+'EU-15_totals'!M27+'EU-15_totals'!N27)</f>
        <v>#N/A</v>
      </c>
      <c r="Z27" s="111" t="e">
        <f>+'EU-15_totals'!K28/('EU-15_totals'!C27+'EU-15_totals'!K28+'EU-15_totals'!L27+'EU-15_totals'!M27+'EU-15_totals'!N27)</f>
        <v>#N/A</v>
      </c>
      <c r="AA27" s="111" t="e">
        <f>+'EU-15_totals'!N27/('EU-15_totals'!C27+'EU-15_totals'!K28+'EU-15_totals'!L27+'EU-15_totals'!M27+'EU-15_totals'!N27)</f>
        <v>#N/A</v>
      </c>
      <c r="AB27" s="111" t="e">
        <f>+'EU-15_totals'!M27/('EU-15_totals'!C27+'EU-15_totals'!K28+'EU-15_totals'!L27+'EU-15_totals'!M27+'EU-15_totals'!N27)</f>
        <v>#N/A</v>
      </c>
      <c r="AC27" s="111" t="e">
        <f t="shared" si="2"/>
        <v>#N/A</v>
      </c>
    </row>
    <row r="28" spans="1:23" ht="11.25">
      <c r="A28" s="25"/>
      <c r="B28" s="39"/>
      <c r="C28" s="39"/>
      <c r="D28" s="39"/>
      <c r="E28" s="39"/>
      <c r="F28" s="39"/>
      <c r="G28" s="39"/>
      <c r="H28" s="104"/>
      <c r="I28" s="30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9"/>
      <c r="U28" s="109"/>
      <c r="V28" s="109"/>
      <c r="W28" s="109"/>
    </row>
    <row r="29" spans="1:23" ht="11.25">
      <c r="A29" s="30" t="s">
        <v>51</v>
      </c>
      <c r="B29" s="30" t="s">
        <v>61</v>
      </c>
      <c r="C29" s="39"/>
      <c r="D29" s="39"/>
      <c r="E29" s="39"/>
      <c r="F29" s="39"/>
      <c r="G29" s="39"/>
      <c r="H29" s="104"/>
      <c r="I29" s="30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9"/>
      <c r="U29" s="109"/>
      <c r="V29" s="109"/>
      <c r="W29" s="109"/>
    </row>
    <row r="30" spans="8:23" ht="11.25">
      <c r="H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1:23" ht="11.25">
      <c r="A31" s="6" t="s">
        <v>127</v>
      </c>
      <c r="H31" s="112"/>
      <c r="J31" s="112"/>
      <c r="K31" s="112"/>
      <c r="L31" s="112"/>
      <c r="M31" s="112"/>
      <c r="N31" s="112"/>
      <c r="O31" s="112"/>
      <c r="P31" s="112"/>
      <c r="Q31" s="112"/>
      <c r="R31" s="109"/>
      <c r="S31" s="109"/>
      <c r="T31" s="109"/>
      <c r="U31" s="109"/>
      <c r="V31" s="109"/>
      <c r="W31" s="109"/>
    </row>
    <row r="32" spans="2:23" ht="11.25">
      <c r="B32" s="110"/>
      <c r="C32" s="112">
        <f aca="true" t="shared" si="5" ref="C32:P32">+C25-C17</f>
        <v>-0.023479756495476622</v>
      </c>
      <c r="D32" s="112">
        <f t="shared" si="5"/>
        <v>-0.01062538661296343</v>
      </c>
      <c r="E32" s="112">
        <f t="shared" si="5"/>
        <v>-0.005960284426917331</v>
      </c>
      <c r="F32" s="112">
        <f t="shared" si="5"/>
        <v>0.0024977223174642285</v>
      </c>
      <c r="G32" s="112">
        <f t="shared" si="5"/>
        <v>0.006985214950552142</v>
      </c>
      <c r="H32" s="112">
        <f>+H25-H17</f>
        <v>0.030582490267341007</v>
      </c>
      <c r="I32" s="110"/>
      <c r="J32" s="112" t="e">
        <f t="shared" si="5"/>
        <v>#N/A</v>
      </c>
      <c r="K32" s="112" t="e">
        <f t="shared" si="5"/>
        <v>#N/A</v>
      </c>
      <c r="L32" s="112" t="e">
        <f t="shared" si="5"/>
        <v>#N/A</v>
      </c>
      <c r="M32" s="112" t="e">
        <f t="shared" si="5"/>
        <v>#N/A</v>
      </c>
      <c r="N32" s="112"/>
      <c r="O32" s="112" t="e">
        <f t="shared" si="5"/>
        <v>#N/A</v>
      </c>
      <c r="P32" s="112" t="e">
        <f t="shared" si="5"/>
        <v>#N/A</v>
      </c>
      <c r="Q32" s="112"/>
      <c r="R32" s="109"/>
      <c r="S32" s="109"/>
      <c r="T32" s="109"/>
      <c r="U32" s="109"/>
      <c r="V32" s="109"/>
      <c r="W32" s="109"/>
    </row>
    <row r="33" spans="8:23" ht="11.25">
      <c r="H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1:23" ht="11.25">
      <c r="A34" s="296"/>
      <c r="B34" s="296" t="s">
        <v>228</v>
      </c>
      <c r="C34" s="296" t="s">
        <v>235</v>
      </c>
      <c r="D34" s="296" t="s">
        <v>236</v>
      </c>
      <c r="E34" s="296" t="s">
        <v>237</v>
      </c>
      <c r="F34" s="296" t="s">
        <v>238</v>
      </c>
      <c r="G34" s="296" t="s">
        <v>239</v>
      </c>
      <c r="H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1:7" ht="11.25">
      <c r="A35" s="370">
        <v>1991</v>
      </c>
      <c r="B35" s="296">
        <f>+C35+D35+E35+F35+G35</f>
        <v>1</v>
      </c>
      <c r="C35" s="296">
        <f>+'EU-15_totals'!C17/'EU-15_totals'!V17</f>
        <v>0.8161209146739917</v>
      </c>
      <c r="D35" s="296">
        <f>+'EU-15_totals'!D17/'EU-15_totals'!V17</f>
        <v>0.09397809514700187</v>
      </c>
      <c r="E35" s="296">
        <f>+'EU-15_totals'!F17/'EU-15_totals'!V17</f>
        <v>0.06869859681774275</v>
      </c>
      <c r="F35" s="296">
        <f>+'EU-15_totals'!G17/'EU-15_totals'!V17</f>
        <v>0.007340988892965269</v>
      </c>
      <c r="G35" s="296">
        <f>+'EU-15_totals'!H17/'EU-15_totals'!V17</f>
        <v>0.013861404468298429</v>
      </c>
    </row>
    <row r="36" spans="1:7" ht="11.25">
      <c r="A36" s="370">
        <v>1992</v>
      </c>
      <c r="B36" s="296">
        <f aca="true" t="shared" si="6" ref="B36:B45">+C36+D36+E36+F36+G36</f>
        <v>1</v>
      </c>
      <c r="C36" s="296">
        <f>+'EU-15_totals'!C18/'EU-15_totals'!V18</f>
        <v>0.819306431253151</v>
      </c>
      <c r="D36" s="296">
        <f>+'EU-15_totals'!D18/'EU-15_totals'!V18</f>
        <v>0.09130907543643536</v>
      </c>
      <c r="E36" s="296">
        <f>+'EU-15_totals'!F18/'EU-15_totals'!V18</f>
        <v>0.06643237078467545</v>
      </c>
      <c r="F36" s="296">
        <f>+'EU-15_totals'!G18/'EU-15_totals'!V18</f>
        <v>0.007813212745053708</v>
      </c>
      <c r="G36" s="296">
        <f>+'EU-15_totals'!H18/'EU-15_totals'!V18</f>
        <v>0.015138909780684509</v>
      </c>
    </row>
    <row r="37" spans="1:7" ht="11.25">
      <c r="A37" s="370">
        <v>1993</v>
      </c>
      <c r="B37" s="296">
        <f t="shared" si="6"/>
        <v>0.9999999999999999</v>
      </c>
      <c r="C37" s="296">
        <f>+'EU-15_totals'!C19/'EU-15_totals'!V19</f>
        <v>0.821770654733394</v>
      </c>
      <c r="D37" s="296">
        <f>+'EU-15_totals'!D19/'EU-15_totals'!V19</f>
        <v>0.08985740462604108</v>
      </c>
      <c r="E37" s="296">
        <f>+'EU-15_totals'!F19/'EU-15_totals'!V19</f>
        <v>0.0641479912806985</v>
      </c>
      <c r="F37" s="296">
        <f>+'EU-15_totals'!G19/'EU-15_totals'!V19</f>
        <v>0.007988108885884228</v>
      </c>
      <c r="G37" s="296">
        <f>+'EU-15_totals'!H19/'EU-15_totals'!V19</f>
        <v>0.016235840473982136</v>
      </c>
    </row>
    <row r="38" spans="1:7" ht="11.25">
      <c r="A38" s="370">
        <v>1994</v>
      </c>
      <c r="B38" s="296">
        <f t="shared" si="6"/>
        <v>1</v>
      </c>
      <c r="C38" s="296">
        <f>+'EU-15_totals'!C20/'EU-15_totals'!V20</f>
        <v>0.8210502960374904</v>
      </c>
      <c r="D38" s="296">
        <f>+'EU-15_totals'!D20/'EU-15_totals'!V20</f>
        <v>0.08985652967071912</v>
      </c>
      <c r="E38" s="296">
        <f>+'EU-15_totals'!F20/'EU-15_totals'!V20</f>
        <v>0.06352610331780265</v>
      </c>
      <c r="F38" s="296">
        <f>+'EU-15_totals'!G20/'EU-15_totals'!V20</f>
        <v>0.008120584926996688</v>
      </c>
      <c r="G38" s="296">
        <f>+'EU-15_totals'!H20/'EU-15_totals'!V20</f>
        <v>0.01744648604699118</v>
      </c>
    </row>
    <row r="39" spans="1:7" ht="11.25">
      <c r="A39" s="370">
        <v>1995</v>
      </c>
      <c r="B39" s="296">
        <f t="shared" si="6"/>
        <v>1.0000000000000002</v>
      </c>
      <c r="C39" s="296">
        <f>+'EU-15_totals'!C21/'EU-15_totals'!V21</f>
        <v>0.819879518237941</v>
      </c>
      <c r="D39" s="296">
        <f>+'EU-15_totals'!D21/'EU-15_totals'!V21</f>
        <v>0.08906896309958158</v>
      </c>
      <c r="E39" s="296">
        <f>+'EU-15_totals'!F21/'EU-15_totals'!V21</f>
        <v>0.06552029197914794</v>
      </c>
      <c r="F39" s="296">
        <f>+'EU-15_totals'!G21/'EU-15_totals'!V21</f>
        <v>0.006862230367001028</v>
      </c>
      <c r="G39" s="296">
        <f>+'EU-15_totals'!H21/'EU-15_totals'!V21</f>
        <v>0.018668996316328578</v>
      </c>
    </row>
    <row r="40" spans="1:7" ht="11.25">
      <c r="A40" s="370">
        <v>1996</v>
      </c>
      <c r="B40" s="296">
        <f t="shared" si="6"/>
        <v>1.0000000000000002</v>
      </c>
      <c r="C40" s="296">
        <f>+'EU-15_totals'!C22/'EU-15_totals'!V22</f>
        <v>0.8184296449967623</v>
      </c>
      <c r="D40" s="296">
        <f>+'EU-15_totals'!D22/'EU-15_totals'!V22</f>
        <v>0.08829242834117033</v>
      </c>
      <c r="E40" s="296">
        <f>+'EU-15_totals'!F22/'EU-15_totals'!V22</f>
        <v>0.0664799020862238</v>
      </c>
      <c r="F40" s="296">
        <f>+'EU-15_totals'!G22/'EU-15_totals'!V22</f>
        <v>0.007315948081013983</v>
      </c>
      <c r="G40" s="296">
        <f>+'EU-15_totals'!H22/'EU-15_totals'!V22</f>
        <v>0.019482076494829793</v>
      </c>
    </row>
    <row r="41" spans="1:7" ht="11.25">
      <c r="A41" s="370">
        <v>1997</v>
      </c>
      <c r="B41" s="296">
        <f t="shared" si="6"/>
        <v>1.0000000000000002</v>
      </c>
      <c r="C41" s="296">
        <f>+'EU-15_totals'!C23/'EU-15_totals'!V23</f>
        <v>0.8162926589665112</v>
      </c>
      <c r="D41" s="296">
        <f>+'EU-15_totals'!D23/'EU-15_totals'!V23</f>
        <v>0.08810342833535006</v>
      </c>
      <c r="E41" s="296">
        <f>+'EU-15_totals'!F23/'EU-15_totals'!V23</f>
        <v>0.06563222033125327</v>
      </c>
      <c r="F41" s="296">
        <f>+'EU-15_totals'!G23/'EU-15_totals'!V23</f>
        <v>0.008940409038365548</v>
      </c>
      <c r="G41" s="296">
        <f>+'EU-15_totals'!H23/'EU-15_totals'!V23</f>
        <v>0.021031283328520115</v>
      </c>
    </row>
    <row r="42" spans="1:7" ht="11.25">
      <c r="A42" s="370">
        <v>1998</v>
      </c>
      <c r="B42" s="296">
        <f t="shared" si="6"/>
        <v>0.9999999999999999</v>
      </c>
      <c r="C42" s="296">
        <f>+'EU-15_totals'!C24/'EU-15_totals'!V24</f>
        <v>0.8183463258407236</v>
      </c>
      <c r="D42" s="296">
        <f>+'EU-15_totals'!D24/'EU-15_totals'!V24</f>
        <v>0.08593297357249356</v>
      </c>
      <c r="E42" s="296">
        <f>+'EU-15_totals'!F24/'EU-15_totals'!V24</f>
        <v>0.0641951361721376</v>
      </c>
      <c r="F42" s="296">
        <f>+'EU-15_totals'!G24/'EU-15_totals'!V24</f>
        <v>0.009630895502930075</v>
      </c>
      <c r="G42" s="296">
        <f>+'EU-15_totals'!H24/'EU-15_totals'!V24</f>
        <v>0.02189466891171512</v>
      </c>
    </row>
    <row r="43" spans="1:7" ht="11.25">
      <c r="A43" s="370">
        <v>1999</v>
      </c>
      <c r="B43" s="296">
        <f t="shared" si="6"/>
        <v>1.0000000000000002</v>
      </c>
      <c r="C43" s="296">
        <f>+'EU-15_totals'!C25/'EU-15_totals'!V25</f>
        <v>0.8177184768838884</v>
      </c>
      <c r="D43" s="296">
        <f>+'EU-15_totals'!D25/'EU-15_totals'!V25</f>
        <v>0.08560685357664365</v>
      </c>
      <c r="E43" s="296">
        <f>+'EU-15_totals'!F25/'EU-15_totals'!V25</f>
        <v>0.0645306239192751</v>
      </c>
      <c r="F43" s="296">
        <f>+'EU-15_totals'!G25/'EU-15_totals'!V25</f>
        <v>0.0102809372074971</v>
      </c>
      <c r="G43" s="296">
        <f>+'EU-15_totals'!H25/'EU-15_totals'!V25</f>
        <v>0.02186310841269584</v>
      </c>
    </row>
    <row r="44" spans="1:7" ht="11.25">
      <c r="A44" s="370">
        <v>2000</v>
      </c>
      <c r="B44" s="296">
        <f t="shared" si="6"/>
        <v>1</v>
      </c>
      <c r="C44" s="296">
        <f>+'EU-15_totals'!C26/'EU-15_totals'!V26</f>
        <v>0.8114773735317653</v>
      </c>
      <c r="D44" s="296">
        <f>+'EU-15_totals'!D26/'EU-15_totals'!V26</f>
        <v>0.0877365467958037</v>
      </c>
      <c r="E44" s="296">
        <f>+'EU-15_totals'!F26/'EU-15_totals'!V26</f>
        <v>0.06636052151637248</v>
      </c>
      <c r="F44" s="296">
        <f>+'EU-15_totals'!G26/'EU-15_totals'!V26</f>
        <v>0.010865002538766932</v>
      </c>
      <c r="G44" s="296">
        <f>+'EU-15_totals'!H26/'EU-15_totals'!V26</f>
        <v>0.02356055561729155</v>
      </c>
    </row>
    <row r="45" spans="1:3" ht="11.25">
      <c r="A45" s="6">
        <v>2001</v>
      </c>
      <c r="B45" s="77" t="e">
        <f t="shared" si="6"/>
        <v>#N/A</v>
      </c>
      <c r="C45" s="6" t="e">
        <f>+'EU-15_totals'!C27/'EU-15_totals'!V27</f>
        <v>#N/A</v>
      </c>
    </row>
  </sheetData>
  <mergeCells count="3">
    <mergeCell ref="X4:AC4"/>
    <mergeCell ref="B4:G4"/>
    <mergeCell ref="U4:V4"/>
  </mergeCells>
  <conditionalFormatting sqref="H31 K31:T31">
    <cfRule type="cellIs" priority="1" dxfId="0" operator="lessThanOrEqual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TERM</dc:subject>
  <dc:creator>Wouter de Ridder</dc:creator>
  <cp:keywords/>
  <dc:description/>
  <cp:lastModifiedBy>Bart Boon</cp:lastModifiedBy>
  <cp:lastPrinted>2002-02-28T09:56:37Z</cp:lastPrinted>
  <dcterms:created xsi:type="dcterms:W3CDTF">2000-05-31T07:25:43Z</dcterms:created>
  <dcterms:modified xsi:type="dcterms:W3CDTF">2003-10-22T09:47:32Z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