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charts/chartEx1.xml" ContentType="application/vnd.ms-office.chartex+xml"/>
  <Override PartName="/xl/charts/style1.xml" ContentType="application/vnd.ms-office.chartstyle+xml"/>
  <Override PartName="/xl/charts/colors1.xml" ContentType="application/vnd.ms-office.chartcolorstyle+xml"/>
  <Override PartName="/xl/charts/chartEx2.xml" ContentType="application/vnd.ms-office.chartex+xml"/>
  <Override PartName="/xl/charts/style2.xml" ContentType="application/vnd.ms-office.chartstyle+xml"/>
  <Override PartName="/xl/charts/colors2.xml" ContentType="application/vnd.ms-office.chartcolorstyle+xml"/>
  <Override PartName="/xl/charts/chartEx3.xml" ContentType="application/vnd.ms-office.chartex+xml"/>
  <Override PartName="/xl/charts/style3.xml" ContentType="application/vnd.ms-office.chartstyle+xml"/>
  <Override PartName="/xl/charts/colors3.xml" ContentType="application/vnd.ms-office.chartcolorstyle+xml"/>
  <Override PartName="/xl/charts/chartEx4.xml" ContentType="application/vnd.ms-office.chartex+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charts/chart1.xml" ContentType="application/vnd.openxmlformats-officedocument.drawingml.chart+xml"/>
  <Override PartName="/xl/charts/style5.xml" ContentType="application/vnd.ms-office.chartstyle+xml"/>
  <Override PartName="/xl/charts/colors5.xml" ContentType="application/vnd.ms-office.chartcolorstyle+xml"/>
  <Override PartName="/xl/charts/chart2.xml" ContentType="application/vnd.openxmlformats-officedocument.drawingml.chart+xml"/>
  <Override PartName="/xl/charts/style6.xml" ContentType="application/vnd.ms-office.chartstyle+xml"/>
  <Override PartName="/xl/charts/colors6.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hidePivotFieldList="1" defaultThemeVersion="166925"/>
  <mc:AlternateContent xmlns:mc="http://schemas.openxmlformats.org/markup-compatibility/2006">
    <mc:Choice Requires="x15">
      <x15ac:absPath xmlns:x15ac="http://schemas.microsoft.com/office/spreadsheetml/2010/11/ac" url="https://wageningenur4.sharepoint.com/sites/EEASpearTaskIII/Gedeelde documenten/General/literature results C pools/"/>
    </mc:Choice>
  </mc:AlternateContent>
  <xr:revisionPtr revIDLastSave="390" documentId="8_{80FF48D3-6FB1-4D3A-AD2B-DE05BFFE88B2}" xr6:coauthVersionLast="44" xr6:coauthVersionMax="44" xr10:uidLastSave="{B4BE6A11-3EC3-4ACE-86C8-E0181E86AFAE}"/>
  <bookViews>
    <workbookView xWindow="-120" yWindow="-120" windowWidth="29040" windowHeight="15840" xr2:uid="{4E97A3D5-D0A1-481E-8493-78FA5A1D378B}"/>
  </bookViews>
  <sheets>
    <sheet name="C storage" sheetId="1" r:id="rId1"/>
    <sheet name="Readme" sheetId="7" r:id="rId2"/>
    <sheet name="ranges" sheetId="6" r:id="rId3"/>
  </sheets>
  <definedNames>
    <definedName name="_xlchart.v1.0" hidden="1">'C storage'!$B$2:$B$390</definedName>
    <definedName name="_xlchart.v1.1" hidden="1">'C storage'!$U$2:$U$390</definedName>
    <definedName name="_xlchart.v1.2" hidden="1">'C storage'!$B$2:$B$390</definedName>
    <definedName name="_xlchart.v1.3" hidden="1">'C storage'!$N$2:$N$390</definedName>
    <definedName name="_xlchart.v1.4" hidden="1">'C storage'!$N$2:$N$397</definedName>
    <definedName name="_xlchart.v1.5" hidden="1">'C storage'!$U$2:$U$397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S403" i="1" l="1"/>
  <c r="R403" i="1"/>
  <c r="S402" i="1"/>
  <c r="R402" i="1"/>
  <c r="S401" i="1"/>
  <c r="R401" i="1"/>
  <c r="S400" i="1"/>
  <c r="R400" i="1"/>
  <c r="S399" i="1"/>
  <c r="R399" i="1"/>
  <c r="S398" i="1"/>
  <c r="R398" i="1"/>
  <c r="P6" i="6"/>
  <c r="P4" i="6"/>
  <c r="T6" i="6"/>
  <c r="T4" i="6"/>
  <c r="Q6" i="6"/>
  <c r="Q4" i="6"/>
  <c r="S6" i="6"/>
  <c r="R6" i="6"/>
  <c r="S4" i="6"/>
  <c r="R4" i="6"/>
  <c r="A402" i="1" l="1"/>
  <c r="U245" i="1" l="1"/>
  <c r="U244" i="1"/>
  <c r="U243" i="1"/>
  <c r="U242" i="1"/>
  <c r="U241" i="1"/>
  <c r="J245" i="1"/>
  <c r="I246" i="1"/>
  <c r="M245" i="1"/>
  <c r="M246" i="1"/>
  <c r="J246" i="1"/>
  <c r="I245" i="1"/>
  <c r="N245" i="1" s="1"/>
  <c r="M244" i="1"/>
  <c r="J244" i="1"/>
  <c r="I244" i="1"/>
  <c r="J243" i="1"/>
  <c r="I243" i="1"/>
  <c r="N243" i="1" s="1"/>
  <c r="M242" i="1"/>
  <c r="J242" i="1"/>
  <c r="I242" i="1"/>
  <c r="N242" i="1" s="1"/>
  <c r="M241" i="1"/>
  <c r="J241" i="1"/>
  <c r="I241" i="1"/>
  <c r="Q8" i="6" l="1"/>
  <c r="S8" i="6"/>
  <c r="R8" i="6"/>
  <c r="T8" i="6"/>
  <c r="P8" i="6"/>
  <c r="N241" i="1"/>
  <c r="N244" i="1"/>
  <c r="N246" i="1"/>
  <c r="N237" i="1"/>
  <c r="N236" i="1"/>
  <c r="N235" i="1"/>
  <c r="I240" i="1" l="1"/>
  <c r="N240" i="1" s="1"/>
  <c r="I239" i="1"/>
  <c r="N239" i="1" s="1"/>
  <c r="I238" i="1"/>
  <c r="N238" i="1" s="1"/>
  <c r="N234" i="1" l="1"/>
  <c r="U29" i="1" l="1"/>
  <c r="N231" i="1" l="1"/>
  <c r="N230" i="1"/>
  <c r="N229" i="1"/>
  <c r="N35" i="1"/>
  <c r="N34" i="1"/>
  <c r="N33" i="1"/>
  <c r="N32" i="1"/>
  <c r="N31" i="1"/>
  <c r="N30" i="1"/>
  <c r="N161" i="1"/>
  <c r="N162" i="1"/>
  <c r="N163" i="1"/>
  <c r="N164" i="1"/>
  <c r="N165" i="1"/>
  <c r="N166" i="1"/>
  <c r="N167" i="1"/>
  <c r="N168" i="1"/>
  <c r="N263" i="1"/>
  <c r="N160" i="1"/>
  <c r="T169" i="1"/>
  <c r="P169" i="1"/>
  <c r="U169" i="1" l="1"/>
  <c r="V115" i="1"/>
  <c r="V108" i="1"/>
  <c r="V99" i="1"/>
  <c r="V93" i="1"/>
  <c r="V98" i="1"/>
  <c r="V74" i="1"/>
  <c r="V85" i="1"/>
  <c r="V107" i="1"/>
  <c r="V116" i="1"/>
  <c r="V123" i="1"/>
  <c r="V113" i="1"/>
  <c r="V83" i="1"/>
  <c r="V95" i="1"/>
  <c r="V89" i="1"/>
  <c r="N211" i="1" l="1"/>
  <c r="P384" i="1" l="1"/>
  <c r="N384" i="1"/>
  <c r="M383" i="1"/>
  <c r="N383" i="1" s="1"/>
  <c r="T383" i="1"/>
  <c r="U382" i="1"/>
  <c r="N382" i="1"/>
  <c r="U383" i="1" l="1"/>
  <c r="T398" i="1"/>
  <c r="T401" i="1"/>
  <c r="T399" i="1"/>
  <c r="T402" i="1"/>
  <c r="T400" i="1"/>
  <c r="T403" i="1"/>
  <c r="U381" i="1"/>
  <c r="U380" i="1"/>
  <c r="U379" i="1"/>
  <c r="U376" i="1"/>
  <c r="U375" i="1"/>
  <c r="U374" i="1"/>
  <c r="U373" i="1"/>
  <c r="U378" i="1"/>
  <c r="U377" i="1"/>
  <c r="U372" i="1"/>
  <c r="U370" i="1"/>
  <c r="U371" i="1"/>
  <c r="U159" i="1"/>
  <c r="U59" i="1"/>
  <c r="M262" i="1" l="1"/>
  <c r="L262" i="1"/>
  <c r="K262" i="1"/>
  <c r="J262" i="1"/>
  <c r="I262" i="1"/>
  <c r="M260" i="1"/>
  <c r="M261" i="1"/>
  <c r="L261" i="1"/>
  <c r="K261" i="1"/>
  <c r="J261" i="1"/>
  <c r="I261" i="1"/>
  <c r="I260" i="1"/>
  <c r="L260" i="1"/>
  <c r="K260" i="1"/>
  <c r="J260" i="1"/>
  <c r="L398" i="1" l="1"/>
  <c r="L401" i="1"/>
  <c r="L403" i="1"/>
  <c r="L399" i="1"/>
  <c r="L402" i="1"/>
  <c r="L400" i="1"/>
  <c r="N260" i="1"/>
  <c r="N261" i="1"/>
  <c r="N262" i="1"/>
  <c r="Q259" i="1"/>
  <c r="P259" i="1"/>
  <c r="P258" i="1"/>
  <c r="Q258" i="1"/>
  <c r="U259" i="1" l="1"/>
  <c r="Q402" i="1"/>
  <c r="Q400" i="1"/>
  <c r="Q403" i="1"/>
  <c r="Q398" i="1"/>
  <c r="Q401" i="1"/>
  <c r="Q399" i="1"/>
  <c r="U258" i="1"/>
  <c r="J256" i="1"/>
  <c r="N256" i="1" s="1"/>
  <c r="J257" i="1"/>
  <c r="N257" i="1" s="1"/>
  <c r="I255" i="1"/>
  <c r="J255" i="1"/>
  <c r="N255" i="1" l="1"/>
  <c r="U363" i="1"/>
  <c r="U362" i="1"/>
  <c r="U361" i="1"/>
  <c r="U360" i="1"/>
  <c r="U359" i="1"/>
  <c r="N363" i="1"/>
  <c r="N362" i="1"/>
  <c r="N361" i="1"/>
  <c r="N360" i="1"/>
  <c r="N359" i="1"/>
  <c r="U275" i="1"/>
  <c r="U274" i="1"/>
  <c r="V344" i="1" l="1"/>
  <c r="U310" i="1"/>
  <c r="N287" i="1"/>
  <c r="N273" i="1"/>
  <c r="N284" i="1"/>
  <c r="N290" i="1"/>
  <c r="N305" i="1"/>
  <c r="N306" i="1"/>
  <c r="N264" i="1"/>
  <c r="N265" i="1"/>
  <c r="N8" i="1" l="1"/>
  <c r="N3" i="1"/>
  <c r="I283" i="1"/>
  <c r="I253" i="1"/>
  <c r="I158" i="1"/>
  <c r="I157" i="1"/>
  <c r="I232" i="1"/>
  <c r="I218" i="1"/>
  <c r="I151" i="1"/>
  <c r="I128" i="1"/>
  <c r="I127" i="1"/>
  <c r="I126" i="1"/>
  <c r="I125" i="1"/>
  <c r="I58" i="1"/>
  <c r="I51" i="1"/>
  <c r="I7" i="1"/>
  <c r="N7" i="1" s="1"/>
  <c r="I6" i="1"/>
  <c r="N15" i="1"/>
  <c r="N16" i="1"/>
  <c r="N6" i="1" l="1"/>
  <c r="U72" i="1"/>
  <c r="U74" i="1"/>
  <c r="U91" i="1"/>
  <c r="U77" i="1"/>
  <c r="U80" i="1"/>
  <c r="U81" i="1"/>
  <c r="U83" i="1"/>
  <c r="U85" i="1"/>
  <c r="U87" i="1"/>
  <c r="U89" i="1"/>
  <c r="U92" i="1"/>
  <c r="U93" i="1"/>
  <c r="U95" i="1"/>
  <c r="U97" i="1"/>
  <c r="U98" i="1"/>
  <c r="U99" i="1"/>
  <c r="U102" i="1"/>
  <c r="U107" i="1"/>
  <c r="U108" i="1"/>
  <c r="U110" i="1"/>
  <c r="U114" i="1"/>
  <c r="U115" i="1"/>
  <c r="U113" i="1"/>
  <c r="U116" i="1"/>
  <c r="U78" i="1"/>
  <c r="U123" i="1"/>
  <c r="U71" i="1"/>
  <c r="N72" i="1"/>
  <c r="N74" i="1"/>
  <c r="N91" i="1"/>
  <c r="N77" i="1"/>
  <c r="N80" i="1"/>
  <c r="N81" i="1"/>
  <c r="N83" i="1"/>
  <c r="N85" i="1"/>
  <c r="N87" i="1"/>
  <c r="N89" i="1"/>
  <c r="N92" i="1"/>
  <c r="N93" i="1"/>
  <c r="N95" i="1"/>
  <c r="N97" i="1"/>
  <c r="N98" i="1"/>
  <c r="N99" i="1"/>
  <c r="N102" i="1"/>
  <c r="N107" i="1"/>
  <c r="N108" i="1"/>
  <c r="N110" i="1"/>
  <c r="N114" i="1"/>
  <c r="N115" i="1"/>
  <c r="N113" i="1"/>
  <c r="N116" i="1"/>
  <c r="N78" i="1"/>
  <c r="N123" i="1"/>
  <c r="N71" i="1"/>
  <c r="N38" i="1" l="1"/>
  <c r="N2" i="1"/>
  <c r="N14" i="1"/>
  <c r="N181" i="1"/>
  <c r="N57" i="1"/>
  <c r="N53" i="1"/>
  <c r="N313" i="1"/>
  <c r="N280" i="1"/>
  <c r="N170" i="1"/>
  <c r="N217" i="1"/>
  <c r="N277" i="1"/>
  <c r="N299" i="1"/>
  <c r="N312" i="1"/>
  <c r="N311" i="1"/>
  <c r="N281" i="1"/>
  <c r="N52" i="1"/>
  <c r="N56" i="1"/>
  <c r="N219" i="1"/>
  <c r="N220" i="1"/>
  <c r="U15" i="1"/>
  <c r="U16" i="1"/>
  <c r="P156" i="1"/>
  <c r="U156" i="1" s="1"/>
  <c r="P124" i="1"/>
  <c r="U124" i="1" s="1"/>
  <c r="I156" i="1"/>
  <c r="N156" i="1" s="1"/>
  <c r="I124" i="1"/>
  <c r="N124" i="1" s="1"/>
  <c r="P50" i="1"/>
  <c r="U50" i="1" s="1"/>
  <c r="I50" i="1"/>
  <c r="N50" i="1" s="1"/>
  <c r="P49" i="1"/>
  <c r="I49" i="1"/>
  <c r="P152" i="1"/>
  <c r="U152" i="1" s="1"/>
  <c r="I152" i="1"/>
  <c r="N152" i="1" s="1"/>
  <c r="U221" i="1"/>
  <c r="U13" i="1"/>
  <c r="Q7" i="6" l="1"/>
  <c r="S7" i="6"/>
  <c r="P7" i="6"/>
  <c r="T7" i="6"/>
  <c r="R7" i="6"/>
  <c r="N49" i="1"/>
  <c r="P399" i="1"/>
  <c r="P402" i="1"/>
  <c r="P400" i="1"/>
  <c r="P403" i="1"/>
  <c r="P398" i="1"/>
  <c r="P401" i="1"/>
  <c r="I4" i="6"/>
  <c r="G4" i="6"/>
  <c r="J4" i="6"/>
  <c r="F4" i="6"/>
  <c r="H4" i="6"/>
  <c r="U49" i="1"/>
  <c r="O7" i="6"/>
  <c r="N303" i="1"/>
  <c r="N289" i="1"/>
  <c r="N332" i="1"/>
  <c r="N333" i="1"/>
  <c r="N334" i="1"/>
  <c r="N216" i="1"/>
  <c r="N226" i="1"/>
  <c r="N227" i="1"/>
  <c r="N228" i="1"/>
  <c r="N207" i="1"/>
  <c r="N209" i="1"/>
  <c r="N330" i="1"/>
  <c r="N335" i="1"/>
  <c r="N331" i="1"/>
  <c r="N304" i="1"/>
  <c r="N300" i="1"/>
  <c r="N301" i="1"/>
  <c r="N302" i="1"/>
  <c r="N215" i="1"/>
  <c r="N214" i="1"/>
  <c r="N213" i="1"/>
  <c r="N212" i="1"/>
  <c r="N176" i="1"/>
  <c r="N185" i="1"/>
  <c r="N186" i="1"/>
  <c r="N187" i="1"/>
  <c r="N196" i="1"/>
  <c r="N197" i="1"/>
  <c r="N198" i="1"/>
  <c r="N199" i="1"/>
  <c r="N200" i="1"/>
  <c r="N201" i="1"/>
  <c r="N202" i="1"/>
  <c r="N203" i="1"/>
  <c r="N204" i="1"/>
  <c r="N172" i="1"/>
  <c r="N173" i="1"/>
  <c r="N174" i="1"/>
  <c r="N175" i="1"/>
  <c r="N342" i="1"/>
  <c r="N343" i="1"/>
  <c r="M22" i="1"/>
  <c r="M20" i="1"/>
  <c r="N20" i="1" s="1"/>
  <c r="M24" i="1"/>
  <c r="N24" i="1" s="1"/>
  <c r="M26" i="1"/>
  <c r="N26" i="1" s="1"/>
  <c r="M18" i="1"/>
  <c r="N188" i="1"/>
  <c r="N189" i="1"/>
  <c r="N193" i="1"/>
  <c r="N195" i="1"/>
  <c r="N194" i="1"/>
  <c r="N191" i="1"/>
  <c r="N61" i="1"/>
  <c r="N60" i="1"/>
  <c r="N45" i="1"/>
  <c r="N46" i="1"/>
  <c r="N43" i="1"/>
  <c r="N44" i="1"/>
  <c r="U40" i="1"/>
  <c r="U39" i="1"/>
  <c r="U296" i="1"/>
  <c r="U293" i="1"/>
  <c r="U324" i="1"/>
  <c r="U325" i="1"/>
  <c r="U103" i="1"/>
  <c r="U104" i="1"/>
  <c r="U339" i="1"/>
  <c r="V351" i="1" s="1"/>
  <c r="U278" i="1"/>
  <c r="U251" i="1"/>
  <c r="U250" i="1"/>
  <c r="U252" i="1"/>
  <c r="U285" i="1"/>
  <c r="U249" i="1"/>
  <c r="U247" i="1"/>
  <c r="U282" i="1"/>
  <c r="U292" i="1"/>
  <c r="U291" i="1"/>
  <c r="U294" i="1"/>
  <c r="U295" i="1"/>
  <c r="U276" i="1"/>
  <c r="U323" i="1"/>
  <c r="U10" i="1"/>
  <c r="U11" i="1"/>
  <c r="U5" i="1"/>
  <c r="U84" i="1"/>
  <c r="U105" i="1"/>
  <c r="U117" i="1"/>
  <c r="U100" i="1"/>
  <c r="U73" i="1"/>
  <c r="U94" i="1"/>
  <c r="U101" i="1"/>
  <c r="U122" i="1"/>
  <c r="U106" i="1"/>
  <c r="U70" i="1"/>
  <c r="U86" i="1"/>
  <c r="U88" i="1"/>
  <c r="U118" i="1"/>
  <c r="U76" i="1"/>
  <c r="U90" i="1"/>
  <c r="U96" i="1"/>
  <c r="U109" i="1"/>
  <c r="U112" i="1"/>
  <c r="U111" i="1"/>
  <c r="U82" i="1"/>
  <c r="U79" i="1"/>
  <c r="U130" i="1"/>
  <c r="U131" i="1"/>
  <c r="U132" i="1"/>
  <c r="U139" i="1"/>
  <c r="U140" i="1"/>
  <c r="U144" i="1"/>
  <c r="U146" i="1"/>
  <c r="U145" i="1"/>
  <c r="U142" i="1"/>
  <c r="U143" i="1"/>
  <c r="U137" i="1"/>
  <c r="U135" i="1"/>
  <c r="U136" i="1"/>
  <c r="R10" i="6" l="1"/>
  <c r="Q10" i="6"/>
  <c r="T10" i="6"/>
  <c r="P10" i="6"/>
  <c r="S10" i="6"/>
  <c r="Q3" i="6"/>
  <c r="S3" i="6"/>
  <c r="T3" i="6"/>
  <c r="R3" i="6"/>
  <c r="P3" i="6"/>
  <c r="S9" i="6"/>
  <c r="Q9" i="6"/>
  <c r="R9" i="6"/>
  <c r="T9" i="6"/>
  <c r="P9" i="6"/>
  <c r="P5" i="6"/>
  <c r="R5" i="6"/>
  <c r="T5" i="6"/>
  <c r="Q5" i="6"/>
  <c r="S5" i="6"/>
  <c r="U407" i="1"/>
  <c r="U406" i="1"/>
  <c r="U411" i="1"/>
  <c r="U408" i="1"/>
  <c r="U409" i="1"/>
  <c r="U410" i="1"/>
  <c r="O10" i="6"/>
  <c r="N18" i="1"/>
  <c r="N22" i="1"/>
  <c r="O6" i="6"/>
  <c r="O9" i="6"/>
  <c r="N192" i="1"/>
  <c r="N190" i="1"/>
  <c r="N62" i="1"/>
  <c r="N41" i="1"/>
  <c r="N42" i="1"/>
  <c r="N47" i="1"/>
  <c r="N55" i="1"/>
  <c r="N54" i="1"/>
  <c r="N251" i="1"/>
  <c r="N250" i="1"/>
  <c r="N252" i="1"/>
  <c r="N285" i="1"/>
  <c r="N249" i="1"/>
  <c r="N247" i="1"/>
  <c r="N48" i="1"/>
  <c r="N154" i="1"/>
  <c r="N155" i="1"/>
  <c r="N65" i="1"/>
  <c r="N66" i="1"/>
  <c r="N68" i="1"/>
  <c r="N69" i="1"/>
  <c r="E9" i="6" l="1"/>
  <c r="N340" i="1"/>
  <c r="N279" i="1"/>
  <c r="N51" i="1" l="1"/>
  <c r="N128" i="1"/>
  <c r="N58" i="1"/>
  <c r="N157" i="1"/>
  <c r="N125" i="1"/>
  <c r="N158" i="1"/>
  <c r="N126" i="1"/>
  <c r="N127" i="1"/>
  <c r="N151" i="1"/>
  <c r="N283" i="1"/>
  <c r="N218" i="1"/>
  <c r="N232" i="1"/>
  <c r="N253" i="1"/>
  <c r="N222" i="1"/>
  <c r="N224" i="1"/>
  <c r="N223" i="1"/>
  <c r="N133" i="1"/>
  <c r="N153" i="1"/>
  <c r="N64" i="1"/>
  <c r="N67" i="1"/>
  <c r="N341" i="1"/>
  <c r="O340" i="1" s="1"/>
  <c r="N184" i="1"/>
  <c r="N205" i="1"/>
  <c r="N178" i="1"/>
  <c r="N210" i="1"/>
  <c r="N225" i="1"/>
  <c r="N248" i="1"/>
  <c r="N336" i="1"/>
  <c r="N84" i="1"/>
  <c r="N105" i="1"/>
  <c r="N117" i="1"/>
  <c r="N100" i="1"/>
  <c r="N73" i="1"/>
  <c r="N94" i="1"/>
  <c r="N101" i="1"/>
  <c r="N122" i="1"/>
  <c r="N106" i="1"/>
  <c r="N70" i="1"/>
  <c r="N86" i="1"/>
  <c r="N88" i="1"/>
  <c r="N118" i="1"/>
  <c r="N76" i="1"/>
  <c r="N90" i="1"/>
  <c r="N96" i="1"/>
  <c r="N109" i="1"/>
  <c r="N112" i="1"/>
  <c r="N111" i="1"/>
  <c r="N82" i="1"/>
  <c r="N79" i="1"/>
  <c r="N134" i="1"/>
  <c r="N138" i="1"/>
  <c r="N141" i="1"/>
  <c r="N129" i="1"/>
  <c r="G9" i="6" l="1"/>
  <c r="H9" i="6"/>
  <c r="J9" i="6"/>
  <c r="F9" i="6"/>
  <c r="I9" i="6"/>
  <c r="F6" i="6"/>
  <c r="H6" i="6"/>
  <c r="I6" i="6"/>
  <c r="J6" i="6"/>
  <c r="G6" i="6"/>
  <c r="J7" i="6"/>
  <c r="G7" i="6"/>
  <c r="I7" i="6"/>
  <c r="H7" i="6"/>
  <c r="F7" i="6"/>
  <c r="G10" i="6"/>
  <c r="H10" i="6"/>
  <c r="F10" i="6"/>
  <c r="I10" i="6"/>
  <c r="J10" i="6"/>
  <c r="H8" i="6"/>
  <c r="F8" i="6"/>
  <c r="I8" i="6"/>
  <c r="G8" i="6"/>
  <c r="J8" i="6"/>
  <c r="O359" i="1"/>
  <c r="E7" i="6"/>
  <c r="E10" i="6"/>
  <c r="E8" i="6"/>
  <c r="H321" i="1"/>
  <c r="J321" i="1" s="1"/>
  <c r="I321" i="1"/>
  <c r="N321" i="1" l="1"/>
  <c r="U290" i="1"/>
  <c r="U306" i="1"/>
  <c r="U305" i="1"/>
  <c r="U284" i="1"/>
  <c r="U273" i="1"/>
  <c r="U265" i="1"/>
  <c r="U264" i="1"/>
  <c r="U287" i="1"/>
  <c r="I322" i="1"/>
  <c r="I326" i="1"/>
  <c r="I327" i="1"/>
  <c r="I328" i="1"/>
  <c r="I329" i="1"/>
  <c r="I319" i="1"/>
  <c r="I320" i="1"/>
  <c r="H322" i="1"/>
  <c r="J322" i="1" s="1"/>
  <c r="H326" i="1"/>
  <c r="J326" i="1" s="1"/>
  <c r="H327" i="1"/>
  <c r="J327" i="1" s="1"/>
  <c r="H328" i="1"/>
  <c r="J328" i="1" s="1"/>
  <c r="H329" i="1"/>
  <c r="J329" i="1" s="1"/>
  <c r="H319" i="1"/>
  <c r="J319" i="1" s="1"/>
  <c r="H320" i="1"/>
  <c r="J320" i="1" s="1"/>
  <c r="N120" i="1"/>
  <c r="N121" i="1"/>
  <c r="N119" i="1"/>
  <c r="N75" i="1"/>
  <c r="M120" i="1"/>
  <c r="M121" i="1"/>
  <c r="M119" i="1"/>
  <c r="M75" i="1"/>
  <c r="K120" i="1"/>
  <c r="K121" i="1"/>
  <c r="K119" i="1"/>
  <c r="K75" i="1"/>
  <c r="I120" i="1"/>
  <c r="I121" i="1"/>
  <c r="I119" i="1"/>
  <c r="I75" i="1"/>
  <c r="Q11" i="6" l="1"/>
  <c r="P11" i="6"/>
  <c r="T11" i="6"/>
  <c r="R11" i="6"/>
  <c r="S11" i="6"/>
  <c r="R12" i="6"/>
  <c r="S12" i="6"/>
  <c r="Q12" i="6"/>
  <c r="P12" i="6"/>
  <c r="T12" i="6"/>
  <c r="J400" i="1"/>
  <c r="J398" i="1"/>
  <c r="J403" i="1"/>
  <c r="J401" i="1"/>
  <c r="J402" i="1"/>
  <c r="J399" i="1"/>
  <c r="K403" i="1"/>
  <c r="K398" i="1"/>
  <c r="K401" i="1"/>
  <c r="K400" i="1"/>
  <c r="K399" i="1"/>
  <c r="K402" i="1"/>
  <c r="I5" i="6"/>
  <c r="H5" i="6"/>
  <c r="G5" i="6"/>
  <c r="J5" i="6"/>
  <c r="F5" i="6"/>
  <c r="I403" i="1"/>
  <c r="I401" i="1"/>
  <c r="I399" i="1"/>
  <c r="I402" i="1"/>
  <c r="I398" i="1"/>
  <c r="I400" i="1"/>
  <c r="U400" i="1"/>
  <c r="U401" i="1"/>
  <c r="U402" i="1"/>
  <c r="U398" i="1"/>
  <c r="U403" i="1"/>
  <c r="U399" i="1"/>
  <c r="E6" i="6"/>
  <c r="O11" i="6"/>
  <c r="O12" i="6"/>
  <c r="O8" i="6"/>
  <c r="O3" i="6"/>
  <c r="O5" i="6"/>
  <c r="N322" i="1"/>
  <c r="N320" i="1"/>
  <c r="N319" i="1"/>
  <c r="N329" i="1"/>
  <c r="N328" i="1"/>
  <c r="N327" i="1"/>
  <c r="N326" i="1"/>
  <c r="M21" i="1"/>
  <c r="M19" i="1"/>
  <c r="N19" i="1" s="1"/>
  <c r="M23" i="1"/>
  <c r="N23" i="1" s="1"/>
  <c r="M25" i="1"/>
  <c r="N25" i="1" s="1"/>
  <c r="M17" i="1"/>
  <c r="G11" i="6" l="1"/>
  <c r="I11" i="6"/>
  <c r="H11" i="6"/>
  <c r="F11" i="6"/>
  <c r="J11" i="6"/>
  <c r="N17" i="1"/>
  <c r="M401" i="1"/>
  <c r="M399" i="1"/>
  <c r="M402" i="1"/>
  <c r="M400" i="1"/>
  <c r="M403" i="1"/>
  <c r="M398" i="1"/>
  <c r="N21" i="1"/>
  <c r="E5" i="6"/>
  <c r="E11" i="6"/>
  <c r="J3" i="6" l="1"/>
  <c r="G3" i="6"/>
  <c r="J12" i="6"/>
  <c r="F3" i="6"/>
  <c r="I12" i="6"/>
  <c r="H3" i="6"/>
  <c r="F12" i="6"/>
  <c r="H12" i="6"/>
  <c r="I3" i="6"/>
  <c r="G12" i="6"/>
  <c r="N402" i="1"/>
  <c r="N398" i="1"/>
  <c r="N403" i="1"/>
  <c r="N401" i="1"/>
  <c r="N399" i="1"/>
  <c r="E12" i="6"/>
  <c r="N400" i="1"/>
  <c r="E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Hendriks, Kees</author>
    <author>tc={363F2E67-3F8E-4D4A-ADB2-7D06E569296A}</author>
    <author>tc={673EB78B-7618-4E6D-89FE-0CBC02BD0A56}</author>
    <author>tc={3A9087B1-8F96-475C-B032-69965A0C2099}</author>
    <author>tc={BAF31C56-2BA3-4CBD-BE5A-F4B678AF53D3}</author>
    <author>tc={CB826349-1011-47A3-883F-ED29887E3721}</author>
  </authors>
  <commentList>
    <comment ref="T5" authorId="0" shapeId="0" xr:uid="{908AC997-722C-4E12-88D9-C14A3C4A59FB}">
      <text>
        <r>
          <rPr>
            <b/>
            <sz val="9"/>
            <color indexed="81"/>
            <rFont val="Tahoma"/>
            <family val="2"/>
          </rPr>
          <t>Hendriks, Kees:</t>
        </r>
        <r>
          <rPr>
            <sz val="9"/>
            <color indexed="81"/>
            <rFont val="Tahoma"/>
            <family val="2"/>
          </rPr>
          <t xml:space="preserve">
mitigation potential</t>
        </r>
      </text>
    </comment>
    <comment ref="H6" authorId="0" shapeId="0" xr:uid="{0D94C225-C0EE-4AAA-82F1-916149DDFC98}">
      <text>
        <r>
          <rPr>
            <b/>
            <sz val="9"/>
            <color indexed="81"/>
            <rFont val="Tahoma"/>
            <family val="2"/>
          </rPr>
          <t>Hendriks, Kees:</t>
        </r>
        <r>
          <rPr>
            <sz val="9"/>
            <color indexed="81"/>
            <rFont val="Tahoma"/>
            <family val="2"/>
          </rPr>
          <t xml:space="preserve">
vegetation number</t>
        </r>
      </text>
    </comment>
    <comment ref="H7" authorId="0" shapeId="0" xr:uid="{2569DEB5-2FA7-41C9-8DBE-B8D74D49B120}">
      <text>
        <r>
          <rPr>
            <b/>
            <sz val="9"/>
            <color indexed="81"/>
            <rFont val="Tahoma"/>
            <family val="2"/>
          </rPr>
          <t>Hendriks, Kees:</t>
        </r>
        <r>
          <rPr>
            <sz val="9"/>
            <color indexed="81"/>
            <rFont val="Tahoma"/>
            <family val="2"/>
          </rPr>
          <t xml:space="preserve">
vegetation number</t>
        </r>
      </text>
    </comment>
    <comment ref="T10" authorId="0" shapeId="0" xr:uid="{ACF10CC7-BFC2-49EF-A3F9-BB2A78376AF3}">
      <text>
        <r>
          <rPr>
            <b/>
            <sz val="9"/>
            <color indexed="81"/>
            <rFont val="Tahoma"/>
            <family val="2"/>
          </rPr>
          <t>Hendriks, Kees:</t>
        </r>
        <r>
          <rPr>
            <sz val="9"/>
            <color indexed="81"/>
            <rFont val="Tahoma"/>
            <family val="2"/>
          </rPr>
          <t xml:space="preserve">
mitigation potential
</t>
        </r>
      </text>
    </comment>
    <comment ref="I15" authorId="0" shapeId="0" xr:uid="{15C013EF-AB6E-4BA7-ABE2-679E02D09ABD}">
      <text>
        <r>
          <rPr>
            <b/>
            <sz val="9"/>
            <color indexed="81"/>
            <rFont val="Tahoma"/>
            <family val="2"/>
          </rPr>
          <t>Hendriks, Kees:</t>
        </r>
        <r>
          <rPr>
            <sz val="9"/>
            <color indexed="81"/>
            <rFont val="Tahoma"/>
            <family val="2"/>
          </rPr>
          <t xml:space="preserve">
trees+root
</t>
        </r>
      </text>
    </comment>
    <comment ref="I16" authorId="0" shapeId="0" xr:uid="{DA9C9AFA-5B41-4ED3-944B-3C3093F7FC86}">
      <text>
        <r>
          <rPr>
            <b/>
            <sz val="9"/>
            <color indexed="81"/>
            <rFont val="Tahoma"/>
            <family val="2"/>
          </rPr>
          <t>Hendriks, Kees:</t>
        </r>
        <r>
          <rPr>
            <sz val="9"/>
            <color indexed="81"/>
            <rFont val="Tahoma"/>
            <family val="2"/>
          </rPr>
          <t xml:space="preserve">
trees+roots</t>
        </r>
      </text>
    </comment>
    <comment ref="I18" authorId="1" shapeId="0" xr:uid="{363F2E67-3F8E-4D4A-ADB2-7D06E569296A}">
      <text>
        <t>[Threaded comment]
Your version of Excel allows you to read this threaded comment; however, any edits to it will get removed if the file is opened in a newer version of Excel. Learn more: https://go.microsoft.com/fwlink/?linkid=870924
Comment:
    is een maximum, wel erg hoog, gecontroleerd, maar klopt met literatuur vermelding</t>
      </text>
    </comment>
    <comment ref="L41" authorId="0" shapeId="0" xr:uid="{3B08B861-9930-493E-BA07-FD3BB6636700}">
      <text>
        <r>
          <rPr>
            <b/>
            <sz val="9"/>
            <color indexed="81"/>
            <rFont val="Tahoma"/>
            <family val="2"/>
          </rPr>
          <t>Hendriks, Kees:</t>
        </r>
        <r>
          <rPr>
            <sz val="9"/>
            <color indexed="81"/>
            <rFont val="Tahoma"/>
            <family val="2"/>
          </rPr>
          <t xml:space="preserve">
forest floor and Ah
</t>
        </r>
      </text>
    </comment>
    <comment ref="L42" authorId="0" shapeId="0" xr:uid="{76FDC424-65D9-44C6-8DCA-751BD590DFFD}">
      <text>
        <r>
          <rPr>
            <b/>
            <sz val="9"/>
            <color indexed="81"/>
            <rFont val="Tahoma"/>
            <family val="2"/>
          </rPr>
          <t>Hendriks, Kees:</t>
        </r>
        <r>
          <rPr>
            <sz val="9"/>
            <color indexed="81"/>
            <rFont val="Tahoma"/>
            <family val="2"/>
          </rPr>
          <t xml:space="preserve">
forest floor and Ah</t>
        </r>
      </text>
    </comment>
    <comment ref="H51" authorId="0" shapeId="0" xr:uid="{D7DDFFC6-278B-4E48-8206-28191451D37F}">
      <text>
        <r>
          <rPr>
            <b/>
            <sz val="9"/>
            <color indexed="81"/>
            <rFont val="Tahoma"/>
            <family val="2"/>
          </rPr>
          <t>Hendriks, Kees:</t>
        </r>
        <r>
          <rPr>
            <sz val="9"/>
            <color indexed="81"/>
            <rFont val="Tahoma"/>
            <family val="2"/>
          </rPr>
          <t xml:space="preserve">
vegetation number</t>
        </r>
      </text>
    </comment>
    <comment ref="H58" authorId="0" shapeId="0" xr:uid="{881570B4-01EE-44A0-8627-14E7903C8787}">
      <text>
        <r>
          <rPr>
            <b/>
            <sz val="9"/>
            <color indexed="81"/>
            <rFont val="Tahoma"/>
            <family val="2"/>
          </rPr>
          <t>Hendriks, Kees:</t>
        </r>
        <r>
          <rPr>
            <sz val="9"/>
            <color indexed="81"/>
            <rFont val="Tahoma"/>
            <family val="2"/>
          </rPr>
          <t xml:space="preserve">
vegetation number</t>
        </r>
      </text>
    </comment>
    <comment ref="H59" authorId="0" shapeId="0" xr:uid="{9F34059F-AA36-40D0-8EF8-7E35AEE577A4}">
      <text>
        <r>
          <rPr>
            <b/>
            <sz val="9"/>
            <color indexed="81"/>
            <rFont val="Tahoma"/>
            <family val="2"/>
          </rPr>
          <t>Hendriks, Kees:</t>
        </r>
        <r>
          <rPr>
            <sz val="9"/>
            <color indexed="81"/>
            <rFont val="Tahoma"/>
            <family val="2"/>
          </rPr>
          <t xml:space="preserve">
NPP (Mg ha-1 yr-1)</t>
        </r>
      </text>
    </comment>
    <comment ref="H63" authorId="0" shapeId="0" xr:uid="{FB31EB32-890B-4FCB-B847-19811A65BE26}">
      <text>
        <r>
          <rPr>
            <b/>
            <sz val="9"/>
            <color indexed="81"/>
            <rFont val="Tahoma"/>
            <family val="2"/>
          </rPr>
          <t>Hendriks, Kees:</t>
        </r>
        <r>
          <rPr>
            <sz val="9"/>
            <color indexed="81"/>
            <rFont val="Tahoma"/>
            <family val="2"/>
          </rPr>
          <t xml:space="preserve">
NPP (Mg ha-1 yr-1)</t>
        </r>
      </text>
    </comment>
    <comment ref="H75" authorId="0" shapeId="0" xr:uid="{BDBB3DCD-DE30-43A8-A273-D1E5789EC41B}">
      <text>
        <r>
          <rPr>
            <b/>
            <sz val="9"/>
            <color indexed="81"/>
            <rFont val="Tahoma"/>
            <family val="2"/>
          </rPr>
          <t>Hendriks, Kees:</t>
        </r>
        <r>
          <rPr>
            <sz val="9"/>
            <color indexed="81"/>
            <rFont val="Tahoma"/>
            <family val="2"/>
          </rPr>
          <t xml:space="preserve">
area (x10^6 ha)</t>
        </r>
      </text>
    </comment>
    <comment ref="I75" authorId="0" shapeId="0" xr:uid="{A368F73C-13CA-4EFF-84C2-1870FFD802DA}">
      <text>
        <r>
          <rPr>
            <b/>
            <sz val="9"/>
            <color indexed="81"/>
            <rFont val="Tahoma"/>
            <family val="2"/>
          </rPr>
          <t>Hendriks, Kees:</t>
        </r>
        <r>
          <rPr>
            <sz val="9"/>
            <color indexed="81"/>
            <rFont val="Tahoma"/>
            <family val="2"/>
          </rPr>
          <t xml:space="preserve">
living biomass</t>
        </r>
      </text>
    </comment>
    <comment ref="K75" authorId="0" shapeId="0" xr:uid="{BF2A2719-6C76-40EF-AA99-8A4E87A28DBC}">
      <text>
        <r>
          <rPr>
            <b/>
            <sz val="9"/>
            <color indexed="81"/>
            <rFont val="Tahoma"/>
            <family val="2"/>
          </rPr>
          <t>Hendriks, Kees:</t>
        </r>
        <r>
          <rPr>
            <sz val="9"/>
            <color indexed="81"/>
            <rFont val="Tahoma"/>
            <family val="2"/>
          </rPr>
          <t xml:space="preserve">
dead biomass</t>
        </r>
      </text>
    </comment>
    <comment ref="M75" authorId="0" shapeId="0" xr:uid="{781C61CE-513D-43CF-A5D7-BE349539AB71}">
      <text>
        <r>
          <rPr>
            <b/>
            <sz val="9"/>
            <color indexed="81"/>
            <rFont val="Tahoma"/>
            <family val="2"/>
          </rPr>
          <t>Hendriks, Kees:</t>
        </r>
        <r>
          <rPr>
            <sz val="9"/>
            <color indexed="81"/>
            <rFont val="Tahoma"/>
            <family val="2"/>
          </rPr>
          <t xml:space="preserve">
soil C</t>
        </r>
      </text>
    </comment>
    <comment ref="H119" authorId="0" shapeId="0" xr:uid="{8A99DD90-3E0B-405C-9640-DBC4D047B9E2}">
      <text>
        <r>
          <rPr>
            <b/>
            <sz val="9"/>
            <color indexed="81"/>
            <rFont val="Tahoma"/>
            <family val="2"/>
          </rPr>
          <t>Hendriks, Kees:</t>
        </r>
        <r>
          <rPr>
            <sz val="9"/>
            <color indexed="81"/>
            <rFont val="Tahoma"/>
            <family val="2"/>
          </rPr>
          <t xml:space="preserve">
area (x10^6 ha)</t>
        </r>
      </text>
    </comment>
    <comment ref="I119" authorId="0" shapeId="0" xr:uid="{085C46E1-A9C3-4BF5-BF84-271A56360561}">
      <text>
        <r>
          <rPr>
            <b/>
            <sz val="9"/>
            <color indexed="81"/>
            <rFont val="Tahoma"/>
            <family val="2"/>
          </rPr>
          <t>Hendriks, Kees:</t>
        </r>
        <r>
          <rPr>
            <sz val="9"/>
            <color indexed="81"/>
            <rFont val="Tahoma"/>
            <family val="2"/>
          </rPr>
          <t xml:space="preserve">
living biomass</t>
        </r>
      </text>
    </comment>
    <comment ref="K119" authorId="0" shapeId="0" xr:uid="{39456FD8-F72E-423E-9719-19170E1D79E4}">
      <text>
        <r>
          <rPr>
            <b/>
            <sz val="9"/>
            <color indexed="81"/>
            <rFont val="Tahoma"/>
            <family val="2"/>
          </rPr>
          <t>Hendriks, Kees:</t>
        </r>
        <r>
          <rPr>
            <sz val="9"/>
            <color indexed="81"/>
            <rFont val="Tahoma"/>
            <family val="2"/>
          </rPr>
          <t xml:space="preserve">
dead biomass</t>
        </r>
      </text>
    </comment>
    <comment ref="M119" authorId="0" shapeId="0" xr:uid="{98480EE5-E6F3-493E-9DD6-B8293A851518}">
      <text>
        <r>
          <rPr>
            <b/>
            <sz val="9"/>
            <color indexed="81"/>
            <rFont val="Tahoma"/>
            <family val="2"/>
          </rPr>
          <t>Hendriks, Kees:</t>
        </r>
        <r>
          <rPr>
            <sz val="9"/>
            <color indexed="81"/>
            <rFont val="Tahoma"/>
            <family val="2"/>
          </rPr>
          <t xml:space="preserve">
soil C</t>
        </r>
      </text>
    </comment>
    <comment ref="H120" authorId="0" shapeId="0" xr:uid="{A32F2714-0896-468D-B4A6-4C7D9F7EDC73}">
      <text>
        <r>
          <rPr>
            <b/>
            <sz val="9"/>
            <color indexed="81"/>
            <rFont val="Tahoma"/>
            <family val="2"/>
          </rPr>
          <t>Hendriks, Kees:</t>
        </r>
        <r>
          <rPr>
            <sz val="9"/>
            <color indexed="81"/>
            <rFont val="Tahoma"/>
            <family val="2"/>
          </rPr>
          <t xml:space="preserve">
area (x10^6 ha)</t>
        </r>
      </text>
    </comment>
    <comment ref="I120" authorId="0" shapeId="0" xr:uid="{7241A8E4-3E02-4F80-8622-A3222A083428}">
      <text>
        <r>
          <rPr>
            <b/>
            <sz val="9"/>
            <color indexed="81"/>
            <rFont val="Tahoma"/>
            <family val="2"/>
          </rPr>
          <t>Hendriks, Kees:</t>
        </r>
        <r>
          <rPr>
            <sz val="9"/>
            <color indexed="81"/>
            <rFont val="Tahoma"/>
            <family val="2"/>
          </rPr>
          <t xml:space="preserve">
living biomass</t>
        </r>
      </text>
    </comment>
    <comment ref="K120" authorId="0" shapeId="0" xr:uid="{436B1C69-736E-4D68-AEB3-FA778FA1A8F5}">
      <text>
        <r>
          <rPr>
            <b/>
            <sz val="9"/>
            <color indexed="81"/>
            <rFont val="Tahoma"/>
            <family val="2"/>
          </rPr>
          <t>Hendriks, Kees:</t>
        </r>
        <r>
          <rPr>
            <sz val="9"/>
            <color indexed="81"/>
            <rFont val="Tahoma"/>
            <family val="2"/>
          </rPr>
          <t xml:space="preserve">
dead biomass</t>
        </r>
      </text>
    </comment>
    <comment ref="M120" authorId="0" shapeId="0" xr:uid="{61464DD2-EEA8-4A25-9EF2-214D4EF34564}">
      <text>
        <r>
          <rPr>
            <b/>
            <sz val="9"/>
            <color indexed="81"/>
            <rFont val="Tahoma"/>
            <family val="2"/>
          </rPr>
          <t>Hendriks, Kees:</t>
        </r>
        <r>
          <rPr>
            <sz val="9"/>
            <color indexed="81"/>
            <rFont val="Tahoma"/>
            <family val="2"/>
          </rPr>
          <t xml:space="preserve">
soil C</t>
        </r>
      </text>
    </comment>
    <comment ref="H121" authorId="0" shapeId="0" xr:uid="{CFE1F2D1-E4ED-42BA-8FC2-4D09D0F5300B}">
      <text>
        <r>
          <rPr>
            <b/>
            <sz val="9"/>
            <color indexed="81"/>
            <rFont val="Tahoma"/>
            <family val="2"/>
          </rPr>
          <t>Hendriks, Kees:</t>
        </r>
        <r>
          <rPr>
            <sz val="9"/>
            <color indexed="81"/>
            <rFont val="Tahoma"/>
            <family val="2"/>
          </rPr>
          <t xml:space="preserve">
area (x10^6 ha)</t>
        </r>
      </text>
    </comment>
    <comment ref="I121" authorId="0" shapeId="0" xr:uid="{A6CCE925-DBEF-4C28-AA06-9229D1C6166B}">
      <text>
        <r>
          <rPr>
            <b/>
            <sz val="9"/>
            <color indexed="81"/>
            <rFont val="Tahoma"/>
            <family val="2"/>
          </rPr>
          <t>Hendriks, Kees:</t>
        </r>
        <r>
          <rPr>
            <sz val="9"/>
            <color indexed="81"/>
            <rFont val="Tahoma"/>
            <family val="2"/>
          </rPr>
          <t xml:space="preserve">
living biomass</t>
        </r>
      </text>
    </comment>
    <comment ref="K121" authorId="0" shapeId="0" xr:uid="{C499E45B-77FB-4526-A432-6C0593615A15}">
      <text>
        <r>
          <rPr>
            <b/>
            <sz val="9"/>
            <color indexed="81"/>
            <rFont val="Tahoma"/>
            <family val="2"/>
          </rPr>
          <t>Hendriks, Kees:</t>
        </r>
        <r>
          <rPr>
            <sz val="9"/>
            <color indexed="81"/>
            <rFont val="Tahoma"/>
            <family val="2"/>
          </rPr>
          <t xml:space="preserve">
dead biomass</t>
        </r>
      </text>
    </comment>
    <comment ref="M121" authorId="0" shapeId="0" xr:uid="{DCCBC252-C4B2-4CC2-BADA-84EB31F81D91}">
      <text>
        <r>
          <rPr>
            <b/>
            <sz val="9"/>
            <color indexed="81"/>
            <rFont val="Tahoma"/>
            <family val="2"/>
          </rPr>
          <t>Hendriks, Kees:</t>
        </r>
        <r>
          <rPr>
            <sz val="9"/>
            <color indexed="81"/>
            <rFont val="Tahoma"/>
            <family val="2"/>
          </rPr>
          <t xml:space="preserve">
soil C</t>
        </r>
      </text>
    </comment>
    <comment ref="H125" authorId="0" shapeId="0" xr:uid="{B1D9DFED-A915-4034-BE48-9FC02E9CE124}">
      <text>
        <r>
          <rPr>
            <b/>
            <sz val="9"/>
            <color indexed="81"/>
            <rFont val="Tahoma"/>
            <family val="2"/>
          </rPr>
          <t>Hendriks, Kees:</t>
        </r>
        <r>
          <rPr>
            <sz val="9"/>
            <color indexed="81"/>
            <rFont val="Tahoma"/>
            <family val="2"/>
          </rPr>
          <t xml:space="preserve">
vegetation number</t>
        </r>
      </text>
    </comment>
    <comment ref="H126" authorId="0" shapeId="0" xr:uid="{82A03135-A505-4CBB-9645-62879E73B483}">
      <text>
        <r>
          <rPr>
            <b/>
            <sz val="9"/>
            <color indexed="81"/>
            <rFont val="Tahoma"/>
            <family val="2"/>
          </rPr>
          <t>Hendriks, Kees:</t>
        </r>
        <r>
          <rPr>
            <sz val="9"/>
            <color indexed="81"/>
            <rFont val="Tahoma"/>
            <family val="2"/>
          </rPr>
          <t xml:space="preserve">
vegetation number</t>
        </r>
      </text>
    </comment>
    <comment ref="H127" authorId="0" shapeId="0" xr:uid="{EFB5BC17-7E8C-4402-A27E-445B82DF00BA}">
      <text>
        <r>
          <rPr>
            <b/>
            <sz val="9"/>
            <color indexed="81"/>
            <rFont val="Tahoma"/>
            <family val="2"/>
          </rPr>
          <t>Hendriks, Kees:</t>
        </r>
        <r>
          <rPr>
            <sz val="9"/>
            <color indexed="81"/>
            <rFont val="Tahoma"/>
            <family val="2"/>
          </rPr>
          <t xml:space="preserve">
vegetation number</t>
        </r>
      </text>
    </comment>
    <comment ref="H128" authorId="0" shapeId="0" xr:uid="{B2701D75-A206-4833-A819-AB945AC9C3DE}">
      <text>
        <r>
          <rPr>
            <b/>
            <sz val="9"/>
            <color indexed="81"/>
            <rFont val="Tahoma"/>
            <family val="2"/>
          </rPr>
          <t>Hendriks, Kees:</t>
        </r>
        <r>
          <rPr>
            <sz val="9"/>
            <color indexed="81"/>
            <rFont val="Tahoma"/>
            <family val="2"/>
          </rPr>
          <t xml:space="preserve">
vegetation number</t>
        </r>
      </text>
    </comment>
    <comment ref="H151" authorId="0" shapeId="0" xr:uid="{D2A3EF5F-5955-466D-A8C0-1DFFD17F8986}">
      <text>
        <r>
          <rPr>
            <b/>
            <sz val="9"/>
            <color indexed="81"/>
            <rFont val="Tahoma"/>
            <family val="2"/>
          </rPr>
          <t>Hendriks, Kees:</t>
        </r>
        <r>
          <rPr>
            <sz val="9"/>
            <color indexed="81"/>
            <rFont val="Tahoma"/>
            <family val="2"/>
          </rPr>
          <t xml:space="preserve">
vegetation number</t>
        </r>
      </text>
    </comment>
    <comment ref="H157" authorId="0" shapeId="0" xr:uid="{6F5E151E-1C62-4B58-B9B1-7B1B213E5704}">
      <text>
        <r>
          <rPr>
            <b/>
            <sz val="9"/>
            <color indexed="81"/>
            <rFont val="Tahoma"/>
            <family val="2"/>
          </rPr>
          <t>Hendriks, Kees:</t>
        </r>
        <r>
          <rPr>
            <sz val="9"/>
            <color indexed="81"/>
            <rFont val="Tahoma"/>
            <family val="2"/>
          </rPr>
          <t xml:space="preserve">
vegetation number</t>
        </r>
      </text>
    </comment>
    <comment ref="H158" authorId="0" shapeId="0" xr:uid="{08F01139-3B2C-4673-AE7D-48C51B7DBBA8}">
      <text>
        <r>
          <rPr>
            <b/>
            <sz val="9"/>
            <color indexed="81"/>
            <rFont val="Tahoma"/>
            <family val="2"/>
          </rPr>
          <t>Hendriks, Kees:</t>
        </r>
        <r>
          <rPr>
            <sz val="9"/>
            <color indexed="81"/>
            <rFont val="Tahoma"/>
            <family val="2"/>
          </rPr>
          <t xml:space="preserve">
vegetation number</t>
        </r>
      </text>
    </comment>
    <comment ref="H159" authorId="0" shapeId="0" xr:uid="{DD8BA79B-EC41-4E3F-982E-B012AAFF80C3}">
      <text>
        <r>
          <rPr>
            <b/>
            <sz val="9"/>
            <color indexed="81"/>
            <rFont val="Tahoma"/>
            <family val="2"/>
          </rPr>
          <t>Hendriks, Kees:</t>
        </r>
        <r>
          <rPr>
            <sz val="9"/>
            <color indexed="81"/>
            <rFont val="Tahoma"/>
            <family val="2"/>
          </rPr>
          <t xml:space="preserve">
NPP (Mg ha-1 yr-1)</t>
        </r>
      </text>
    </comment>
    <comment ref="M176" authorId="0" shapeId="0" xr:uid="{5EB283C7-6A8F-43B6-86C5-3CE2C297D983}">
      <text>
        <r>
          <rPr>
            <b/>
            <sz val="9"/>
            <color indexed="81"/>
            <rFont val="Tahoma"/>
            <family val="2"/>
          </rPr>
          <t>Hendriks, Kees:</t>
        </r>
        <r>
          <rPr>
            <sz val="9"/>
            <color indexed="81"/>
            <rFont val="Tahoma"/>
            <family val="2"/>
          </rPr>
          <t xml:space="preserve">
0-30 cm
litter and soil
</t>
        </r>
      </text>
    </comment>
    <comment ref="H188" authorId="0" shapeId="0" xr:uid="{492B3157-782B-45F5-8FD1-D713B56C9FED}">
      <text>
        <r>
          <rPr>
            <b/>
            <sz val="9"/>
            <color indexed="81"/>
            <rFont val="Tahoma"/>
            <family val="2"/>
          </rPr>
          <t>Hendriks, Kees:</t>
        </r>
        <r>
          <rPr>
            <sz val="9"/>
            <color indexed="81"/>
            <rFont val="Tahoma"/>
            <family val="2"/>
          </rPr>
          <t xml:space="preserve">
NPP (Mg ha-1 yr-1)</t>
        </r>
      </text>
    </comment>
    <comment ref="H189" authorId="0" shapeId="0" xr:uid="{7360A17D-63C2-4A7C-A499-7BA67C0964F4}">
      <text>
        <r>
          <rPr>
            <b/>
            <sz val="9"/>
            <color indexed="81"/>
            <rFont val="Tahoma"/>
            <family val="2"/>
          </rPr>
          <t>Hendriks, Kees:</t>
        </r>
        <r>
          <rPr>
            <sz val="9"/>
            <color indexed="81"/>
            <rFont val="Tahoma"/>
            <family val="2"/>
          </rPr>
          <t xml:space="preserve">
NPP (Mg ha-1 yr-1)</t>
        </r>
      </text>
    </comment>
    <comment ref="H190" authorId="0" shapeId="0" xr:uid="{678BB2A2-B5D9-46C4-9C81-71C122C1E5A8}">
      <text>
        <r>
          <rPr>
            <b/>
            <sz val="9"/>
            <color indexed="81"/>
            <rFont val="Tahoma"/>
            <family val="2"/>
          </rPr>
          <t>Hendriks, Kees:</t>
        </r>
        <r>
          <rPr>
            <sz val="9"/>
            <color indexed="81"/>
            <rFont val="Tahoma"/>
            <family val="2"/>
          </rPr>
          <t xml:space="preserve">
NPP (Mg ha-1 yr-1)</t>
        </r>
      </text>
    </comment>
    <comment ref="H191" authorId="0" shapeId="0" xr:uid="{A8012716-779A-41D3-8E5F-50CE306E25B0}">
      <text>
        <r>
          <rPr>
            <b/>
            <sz val="9"/>
            <color indexed="81"/>
            <rFont val="Tahoma"/>
            <family val="2"/>
          </rPr>
          <t>Hendriks, Kees:</t>
        </r>
        <r>
          <rPr>
            <sz val="9"/>
            <color indexed="81"/>
            <rFont val="Tahoma"/>
            <family val="2"/>
          </rPr>
          <t xml:space="preserve">
NPP (Mg ha-1 yr-1)</t>
        </r>
      </text>
    </comment>
    <comment ref="C192" authorId="2" shapeId="0" xr:uid="{673EB78B-7618-4E6D-89FE-0CBC02BD0A56}">
      <text>
        <t>[Threaded comment]
Your version of Excel allows you to read this threaded comment; however, any edits to it will get removed if the file is opened in a newer version of Excel. Learn more: https://go.microsoft.com/fwlink/?linkid=870924
Comment:
    rainfall 200-400 mm annually</t>
      </text>
    </comment>
    <comment ref="H192" authorId="0" shapeId="0" xr:uid="{3D675F82-22D5-40D6-9AE2-632B621DCE46}">
      <text>
        <r>
          <rPr>
            <b/>
            <sz val="9"/>
            <color indexed="81"/>
            <rFont val="Tahoma"/>
            <family val="2"/>
          </rPr>
          <t>Hendriks, Kees:</t>
        </r>
        <r>
          <rPr>
            <sz val="9"/>
            <color indexed="81"/>
            <rFont val="Tahoma"/>
            <family val="2"/>
          </rPr>
          <t xml:space="preserve">
NPP (Mg ha-1 yr-1)</t>
        </r>
      </text>
    </comment>
    <comment ref="C193" authorId="3" shapeId="0" xr:uid="{3A9087B1-8F96-475C-B032-69965A0C2099}">
      <text>
        <t>[Threaded comment]
Your version of Excel allows you to read this threaded comment; however, any edits to it will get removed if the file is opened in a newer version of Excel. Learn more: https://go.microsoft.com/fwlink/?linkid=870924
Comment:
    rainfall 200-400 mm annually</t>
      </text>
    </comment>
    <comment ref="H193" authorId="0" shapeId="0" xr:uid="{E3AFA4CB-A141-42CC-9569-1DB619848D77}">
      <text>
        <r>
          <rPr>
            <b/>
            <sz val="9"/>
            <color indexed="81"/>
            <rFont val="Tahoma"/>
            <family val="2"/>
          </rPr>
          <t>Hendriks, Kees:</t>
        </r>
        <r>
          <rPr>
            <sz val="9"/>
            <color indexed="81"/>
            <rFont val="Tahoma"/>
            <family val="2"/>
          </rPr>
          <t xml:space="preserve">
NPP (Mg ha-1 yr-1)</t>
        </r>
      </text>
    </comment>
    <comment ref="C194" authorId="4" shapeId="0" xr:uid="{BAF31C56-2BA3-4CBD-BE5A-F4B678AF53D3}">
      <text>
        <t>[Threaded comment]
Your version of Excel allows you to read this threaded comment; however, any edits to it will get removed if the file is opened in a newer version of Excel. Learn more: https://go.microsoft.com/fwlink/?linkid=870924
Comment:
    400-600 mm rain</t>
      </text>
    </comment>
    <comment ref="H194" authorId="0" shapeId="0" xr:uid="{C031274F-F35A-440D-B10E-04464A8F9124}">
      <text>
        <r>
          <rPr>
            <b/>
            <sz val="9"/>
            <color indexed="81"/>
            <rFont val="Tahoma"/>
            <family val="2"/>
          </rPr>
          <t>Hendriks, Kees:</t>
        </r>
        <r>
          <rPr>
            <sz val="9"/>
            <color indexed="81"/>
            <rFont val="Tahoma"/>
            <family val="2"/>
          </rPr>
          <t xml:space="preserve">
NPP (Mg ha-1 yr-1)</t>
        </r>
      </text>
    </comment>
    <comment ref="C195" authorId="5" shapeId="0" xr:uid="{CB826349-1011-47A3-883F-ED29887E3721}">
      <text>
        <t>[Threaded comment]
Your version of Excel allows you to read this threaded comment; however, any edits to it will get removed if the file is opened in a newer version of Excel. Learn more: https://go.microsoft.com/fwlink/?linkid=870924
Comment:
    400-600 mm rain</t>
      </text>
    </comment>
    <comment ref="H195" authorId="0" shapeId="0" xr:uid="{83846819-E210-4FD3-A7EB-859449AD6855}">
      <text>
        <r>
          <rPr>
            <b/>
            <sz val="9"/>
            <color indexed="81"/>
            <rFont val="Tahoma"/>
            <family val="2"/>
          </rPr>
          <t>Hendriks, Kees:</t>
        </r>
        <r>
          <rPr>
            <sz val="9"/>
            <color indexed="81"/>
            <rFont val="Tahoma"/>
            <family val="2"/>
          </rPr>
          <t xml:space="preserve">
NPP (Mg ha-1 yr-1)</t>
        </r>
      </text>
    </comment>
    <comment ref="M210" authorId="0" shapeId="0" xr:uid="{6C346484-6E86-4F7C-9ACE-F4494B1B873E}">
      <text>
        <r>
          <rPr>
            <b/>
            <sz val="9"/>
            <color indexed="81"/>
            <rFont val="Tahoma"/>
            <family val="2"/>
          </rPr>
          <t>Hendriks, Kees:</t>
        </r>
        <r>
          <rPr>
            <sz val="9"/>
            <color indexed="81"/>
            <rFont val="Tahoma"/>
            <family val="2"/>
          </rPr>
          <t xml:space="preserve">
litter and soil
</t>
        </r>
      </text>
    </comment>
    <comment ref="M212" authorId="0" shapeId="0" xr:uid="{BBB349DD-E38A-4BA5-9477-75B59D49073E}">
      <text>
        <r>
          <rPr>
            <b/>
            <sz val="9"/>
            <color indexed="81"/>
            <rFont val="Tahoma"/>
            <family val="2"/>
          </rPr>
          <t>Hendriks, Kees:</t>
        </r>
        <r>
          <rPr>
            <sz val="9"/>
            <color indexed="81"/>
            <rFont val="Tahoma"/>
            <family val="2"/>
          </rPr>
          <t xml:space="preserve">
0-30 cm, incl strooisel</t>
        </r>
      </text>
    </comment>
    <comment ref="M213" authorId="0" shapeId="0" xr:uid="{AAFB25D1-7D9E-4F40-8CB0-CF37C4EEE687}">
      <text>
        <r>
          <rPr>
            <b/>
            <sz val="9"/>
            <color indexed="81"/>
            <rFont val="Tahoma"/>
            <family val="2"/>
          </rPr>
          <t>Hendriks, Kees:</t>
        </r>
        <r>
          <rPr>
            <sz val="9"/>
            <color indexed="81"/>
            <rFont val="Tahoma"/>
            <family val="2"/>
          </rPr>
          <t xml:space="preserve">
strooisel, Oh-laag en minerale bodem, calluna, edese heide</t>
        </r>
      </text>
    </comment>
    <comment ref="M214" authorId="0" shapeId="0" xr:uid="{B7A3D1F3-AD7D-4C91-9198-0F6983BB0C8F}">
      <text>
        <r>
          <rPr>
            <b/>
            <sz val="9"/>
            <color indexed="81"/>
            <rFont val="Tahoma"/>
            <family val="2"/>
          </rPr>
          <t>Hendriks, Kees:</t>
        </r>
        <r>
          <rPr>
            <sz val="9"/>
            <color indexed="81"/>
            <rFont val="Tahoma"/>
            <family val="2"/>
          </rPr>
          <t xml:space="preserve">
strooisel, Oh-laag en minerale bodem, molinia, edese heide</t>
        </r>
      </text>
    </comment>
    <comment ref="M215" authorId="0" shapeId="0" xr:uid="{8DF0579C-8E90-45EB-947B-C5F2906DE35B}">
      <text>
        <r>
          <rPr>
            <b/>
            <sz val="9"/>
            <color indexed="81"/>
            <rFont val="Tahoma"/>
            <family val="2"/>
          </rPr>
          <t>Hendriks, Kees:</t>
        </r>
        <r>
          <rPr>
            <sz val="9"/>
            <color indexed="81"/>
            <rFont val="Tahoma"/>
            <family val="2"/>
          </rPr>
          <t xml:space="preserve">
strooisel, Oh-laag en minerale bodem, deschampsia, edese heide</t>
        </r>
      </text>
    </comment>
    <comment ref="H218" authorId="0" shapeId="0" xr:uid="{6EA16217-A3F7-42EF-9D1A-5AA37C140A86}">
      <text>
        <r>
          <rPr>
            <b/>
            <sz val="9"/>
            <color indexed="81"/>
            <rFont val="Tahoma"/>
            <family val="2"/>
          </rPr>
          <t>Hendriks, Kees:</t>
        </r>
        <r>
          <rPr>
            <sz val="9"/>
            <color indexed="81"/>
            <rFont val="Tahoma"/>
            <family val="2"/>
          </rPr>
          <t xml:space="preserve">
vegetation number</t>
        </r>
      </text>
    </comment>
    <comment ref="M225" authorId="0" shapeId="0" xr:uid="{0EF840E6-E896-4D00-92AF-1D63A97F6C39}">
      <text>
        <r>
          <rPr>
            <b/>
            <sz val="9"/>
            <color indexed="81"/>
            <rFont val="Tahoma"/>
            <family val="2"/>
          </rPr>
          <t>Hendriks, Kees:
litter and soil</t>
        </r>
      </text>
    </comment>
    <comment ref="H232" authorId="0" shapeId="0" xr:uid="{ECD4558C-79C0-4B08-85AE-3388504F08BB}">
      <text>
        <r>
          <rPr>
            <b/>
            <sz val="9"/>
            <color indexed="81"/>
            <rFont val="Tahoma"/>
            <family val="2"/>
          </rPr>
          <t>Hendriks, Kees:</t>
        </r>
        <r>
          <rPr>
            <sz val="9"/>
            <color indexed="81"/>
            <rFont val="Tahoma"/>
            <family val="2"/>
          </rPr>
          <t xml:space="preserve">
vegetation number</t>
        </r>
      </text>
    </comment>
    <comment ref="H233" authorId="0" shapeId="0" xr:uid="{49305652-1044-4982-8C5F-E04DFA102E8D}">
      <text>
        <r>
          <rPr>
            <b/>
            <sz val="9"/>
            <color indexed="81"/>
            <rFont val="Tahoma"/>
            <family val="2"/>
          </rPr>
          <t>Hendriks, Kees:</t>
        </r>
        <r>
          <rPr>
            <sz val="9"/>
            <color indexed="81"/>
            <rFont val="Tahoma"/>
            <family val="2"/>
          </rPr>
          <t xml:space="preserve">
NPP (Mg ha-1 yr-1)</t>
        </r>
      </text>
    </comment>
    <comment ref="H234" authorId="0" shapeId="0" xr:uid="{D4955B34-16BC-498A-8CCA-92D3C84D4CFA}">
      <text>
        <r>
          <rPr>
            <b/>
            <sz val="9"/>
            <color indexed="81"/>
            <rFont val="Tahoma"/>
            <family val="2"/>
          </rPr>
          <t>Hendriks, Kees:</t>
        </r>
        <r>
          <rPr>
            <sz val="9"/>
            <color indexed="81"/>
            <rFont val="Tahoma"/>
            <family val="2"/>
          </rPr>
          <t xml:space="preserve">
NPP (Mg ha-1 yr-1)</t>
        </r>
      </text>
    </comment>
    <comment ref="H247" authorId="0" shapeId="0" xr:uid="{D61A1F27-B82E-4D3F-B246-D4515F887F3C}">
      <text>
        <r>
          <rPr>
            <b/>
            <sz val="9"/>
            <color indexed="81"/>
            <rFont val="Tahoma"/>
            <family val="2"/>
          </rPr>
          <t>Hendriks, Kees:</t>
        </r>
        <r>
          <rPr>
            <sz val="9"/>
            <color indexed="81"/>
            <rFont val="Tahoma"/>
            <family val="2"/>
          </rPr>
          <t xml:space="preserve">
NPP (Mg ha-1 yr-1)</t>
        </r>
      </text>
    </comment>
    <comment ref="M248" authorId="0" shapeId="0" xr:uid="{08D700E3-0767-4CC6-B66D-C7337BFC70E7}">
      <text>
        <r>
          <rPr>
            <b/>
            <sz val="9"/>
            <color indexed="81"/>
            <rFont val="Tahoma"/>
            <family val="2"/>
          </rPr>
          <t>Hendriks, Kees:</t>
        </r>
        <r>
          <rPr>
            <sz val="9"/>
            <color indexed="81"/>
            <rFont val="Tahoma"/>
            <family val="2"/>
          </rPr>
          <t xml:space="preserve">
litter and soil
</t>
        </r>
      </text>
    </comment>
    <comment ref="H249" authorId="0" shapeId="0" xr:uid="{313C6231-0719-4E66-9F6D-554E51C4E69C}">
      <text>
        <r>
          <rPr>
            <b/>
            <sz val="9"/>
            <color indexed="81"/>
            <rFont val="Tahoma"/>
            <family val="2"/>
          </rPr>
          <t>Hendriks, Kees:</t>
        </r>
        <r>
          <rPr>
            <sz val="9"/>
            <color indexed="81"/>
            <rFont val="Tahoma"/>
            <family val="2"/>
          </rPr>
          <t xml:space="preserve">
NPP (Mg ha-1 yr-1)</t>
        </r>
      </text>
    </comment>
    <comment ref="H250" authorId="0" shapeId="0" xr:uid="{32675C0B-4DAA-49E7-95FD-0A4EBDEF590D}">
      <text>
        <r>
          <rPr>
            <b/>
            <sz val="9"/>
            <color indexed="81"/>
            <rFont val="Tahoma"/>
            <family val="2"/>
          </rPr>
          <t>Hendriks, Kees:</t>
        </r>
        <r>
          <rPr>
            <sz val="9"/>
            <color indexed="81"/>
            <rFont val="Tahoma"/>
            <family val="2"/>
          </rPr>
          <t xml:space="preserve">
NPP (Mg ha-1 yr-1)</t>
        </r>
      </text>
    </comment>
    <comment ref="H251" authorId="0" shapeId="0" xr:uid="{7710EBDB-E085-41DE-B29F-564CCB60D447}">
      <text>
        <r>
          <rPr>
            <b/>
            <sz val="9"/>
            <color indexed="81"/>
            <rFont val="Tahoma"/>
            <family val="2"/>
          </rPr>
          <t>Hendriks, Kees:</t>
        </r>
        <r>
          <rPr>
            <sz val="9"/>
            <color indexed="81"/>
            <rFont val="Tahoma"/>
            <family val="2"/>
          </rPr>
          <t xml:space="preserve">
NPP (Mg ha-1 yr-1)</t>
        </r>
      </text>
    </comment>
    <comment ref="H252" authorId="0" shapeId="0" xr:uid="{C44CF510-86FD-43E7-973C-2A7599E8C33A}">
      <text>
        <r>
          <rPr>
            <b/>
            <sz val="9"/>
            <color indexed="81"/>
            <rFont val="Tahoma"/>
            <family val="2"/>
          </rPr>
          <t>Hendriks, Kees:</t>
        </r>
        <r>
          <rPr>
            <sz val="9"/>
            <color indexed="81"/>
            <rFont val="Tahoma"/>
            <family val="2"/>
          </rPr>
          <t xml:space="preserve">
NPP (Mg ha-1 yr-1)</t>
        </r>
      </text>
    </comment>
    <comment ref="H253" authorId="0" shapeId="0" xr:uid="{BE372437-27C9-4EAA-95D4-DD7FEC580411}">
      <text>
        <r>
          <rPr>
            <b/>
            <sz val="9"/>
            <color indexed="81"/>
            <rFont val="Tahoma"/>
            <family val="2"/>
          </rPr>
          <t>Hendriks, Kees:</t>
        </r>
        <r>
          <rPr>
            <sz val="9"/>
            <color indexed="81"/>
            <rFont val="Tahoma"/>
            <family val="2"/>
          </rPr>
          <t xml:space="preserve">
vegetation number</t>
        </r>
      </text>
    </comment>
    <comment ref="U274" authorId="0" shapeId="0" xr:uid="{16A4238B-D965-4690-9BCC-E6E0C40C32E5}">
      <text>
        <r>
          <rPr>
            <b/>
            <sz val="9"/>
            <color indexed="81"/>
            <rFont val="Tahoma"/>
            <family val="2"/>
          </rPr>
          <t>Hendriks, Kees:</t>
        </r>
        <r>
          <rPr>
            <sz val="9"/>
            <color indexed="81"/>
            <rFont val="Tahoma"/>
            <family val="2"/>
          </rPr>
          <t xml:space="preserve">
100 years mean</t>
        </r>
      </text>
    </comment>
    <comment ref="U275" authorId="0" shapeId="0" xr:uid="{66684F77-7189-435B-809B-FD1AAEFA2476}">
      <text>
        <r>
          <rPr>
            <b/>
            <sz val="9"/>
            <color indexed="81"/>
            <rFont val="Tahoma"/>
            <family val="2"/>
          </rPr>
          <t>Hendriks, Kees:</t>
        </r>
        <r>
          <rPr>
            <sz val="9"/>
            <color indexed="81"/>
            <rFont val="Tahoma"/>
            <family val="2"/>
          </rPr>
          <t xml:space="preserve">
50 years mean
</t>
        </r>
      </text>
    </comment>
    <comment ref="H283" authorId="0" shapeId="0" xr:uid="{B2CADE6C-6821-4E78-9E20-07A7B8E5E2F2}">
      <text>
        <r>
          <rPr>
            <b/>
            <sz val="9"/>
            <color indexed="81"/>
            <rFont val="Tahoma"/>
            <family val="2"/>
          </rPr>
          <t>Hendriks, Kees:</t>
        </r>
        <r>
          <rPr>
            <sz val="9"/>
            <color indexed="81"/>
            <rFont val="Tahoma"/>
            <family val="2"/>
          </rPr>
          <t xml:space="preserve">
vegetation number</t>
        </r>
      </text>
    </comment>
    <comment ref="H285" authorId="0" shapeId="0" xr:uid="{9EACD072-BE45-4B8A-936D-264BB8E0A598}">
      <text>
        <r>
          <rPr>
            <b/>
            <sz val="9"/>
            <color indexed="81"/>
            <rFont val="Tahoma"/>
            <family val="2"/>
          </rPr>
          <t>Hendriks, Kees:</t>
        </r>
        <r>
          <rPr>
            <sz val="9"/>
            <color indexed="81"/>
            <rFont val="Tahoma"/>
            <family val="2"/>
          </rPr>
          <t xml:space="preserve">
NPP (Mg ha-1 yr-1)</t>
        </r>
      </text>
    </comment>
    <comment ref="N287" authorId="0" shapeId="0" xr:uid="{7723EB6C-3FFB-4D3C-BE3B-B8846AB9BCA3}">
      <text>
        <r>
          <rPr>
            <b/>
            <sz val="9"/>
            <color indexed="81"/>
            <rFont val="Tahoma"/>
            <family val="2"/>
          </rPr>
          <t>Hendriks, Kees:</t>
        </r>
        <r>
          <rPr>
            <sz val="9"/>
            <color indexed="81"/>
            <rFont val="Tahoma"/>
            <family val="2"/>
          </rPr>
          <t xml:space="preserve">
dry peat massg C cm-2 *0.50*100 = Mg C ha-1
</t>
        </r>
      </text>
    </comment>
    <comment ref="G319" authorId="0" shapeId="0" xr:uid="{F1F9DA0B-5EBD-475D-9ADD-6D9539906AF4}">
      <text>
        <r>
          <rPr>
            <b/>
            <sz val="9"/>
            <color indexed="81"/>
            <rFont val="Tahoma"/>
            <family val="2"/>
          </rPr>
          <t>Hendriks, Kees:</t>
        </r>
        <r>
          <rPr>
            <sz val="9"/>
            <color indexed="81"/>
            <rFont val="Tahoma"/>
            <family val="2"/>
          </rPr>
          <t xml:space="preserve">
shoot biomass g dry weight m-2
</t>
        </r>
      </text>
    </comment>
    <comment ref="H319" authorId="0" shapeId="0" xr:uid="{CF0D27E3-DB0B-4A30-B0CD-424B4DD00516}">
      <text>
        <r>
          <rPr>
            <b/>
            <sz val="9"/>
            <color indexed="81"/>
            <rFont val="Tahoma"/>
            <family val="2"/>
          </rPr>
          <t>Hendriks, Kees:</t>
        </r>
        <r>
          <rPr>
            <sz val="9"/>
            <color indexed="81"/>
            <rFont val="Tahoma"/>
            <family val="2"/>
          </rPr>
          <t xml:space="preserve">
rhizome biomass Mg dry weight ha-1</t>
        </r>
      </text>
    </comment>
    <comment ref="G320" authorId="0" shapeId="0" xr:uid="{510CE5C7-2385-434C-8413-F0602402601C}">
      <text>
        <r>
          <rPr>
            <b/>
            <sz val="9"/>
            <color indexed="81"/>
            <rFont val="Tahoma"/>
            <family val="2"/>
          </rPr>
          <t>Hendriks, Kees:</t>
        </r>
        <r>
          <rPr>
            <sz val="9"/>
            <color indexed="81"/>
            <rFont val="Tahoma"/>
            <family val="2"/>
          </rPr>
          <t xml:space="preserve">
shoot biomass g dry weight m-2</t>
        </r>
      </text>
    </comment>
    <comment ref="H320" authorId="0" shapeId="0" xr:uid="{9B76631D-E432-40CF-A32D-9EEBF1A86C90}">
      <text>
        <r>
          <rPr>
            <b/>
            <sz val="9"/>
            <color indexed="81"/>
            <rFont val="Tahoma"/>
            <family val="2"/>
          </rPr>
          <t>Hendriks, Kees:</t>
        </r>
        <r>
          <rPr>
            <sz val="9"/>
            <color indexed="81"/>
            <rFont val="Tahoma"/>
            <family val="2"/>
          </rPr>
          <t xml:space="preserve">
rhizome biomass Mg dry weight ha-1</t>
        </r>
      </text>
    </comment>
    <comment ref="G321" authorId="0" shapeId="0" xr:uid="{E054DFBE-8C57-41BA-8AA8-9BA9816D0D07}">
      <text>
        <r>
          <rPr>
            <b/>
            <sz val="9"/>
            <color indexed="81"/>
            <rFont val="Tahoma"/>
            <family val="2"/>
          </rPr>
          <t>Hendriks, Kees:</t>
        </r>
        <r>
          <rPr>
            <sz val="9"/>
            <color indexed="81"/>
            <rFont val="Tahoma"/>
            <family val="2"/>
          </rPr>
          <t xml:space="preserve">
shoot biomass g dry weight m-2</t>
        </r>
      </text>
    </comment>
    <comment ref="H321" authorId="0" shapeId="0" xr:uid="{6746CD96-84D9-45EE-8B1F-8ABCD333BC0A}">
      <text>
        <r>
          <rPr>
            <b/>
            <sz val="9"/>
            <color indexed="81"/>
            <rFont val="Tahoma"/>
            <family val="2"/>
          </rPr>
          <t>Hendriks, Kees:</t>
        </r>
        <r>
          <rPr>
            <sz val="9"/>
            <color indexed="81"/>
            <rFont val="Tahoma"/>
            <family val="2"/>
          </rPr>
          <t xml:space="preserve">
rhizome biomass Mg dry weight ha-1</t>
        </r>
      </text>
    </comment>
    <comment ref="G322" authorId="0" shapeId="0" xr:uid="{C39797B1-8D90-4C1D-B4DA-E35232C7090D}">
      <text>
        <r>
          <rPr>
            <b/>
            <sz val="9"/>
            <color indexed="81"/>
            <rFont val="Tahoma"/>
            <family val="2"/>
          </rPr>
          <t>Hendriks, Kees:</t>
        </r>
        <r>
          <rPr>
            <sz val="9"/>
            <color indexed="81"/>
            <rFont val="Tahoma"/>
            <family val="2"/>
          </rPr>
          <t xml:space="preserve">
shoot biomass g dry weight m-2</t>
        </r>
      </text>
    </comment>
    <comment ref="H322" authorId="0" shapeId="0" xr:uid="{0BA50AE7-0CDF-4F87-ACBB-40509A98B48B}">
      <text>
        <r>
          <rPr>
            <b/>
            <sz val="9"/>
            <color indexed="81"/>
            <rFont val="Tahoma"/>
            <family val="2"/>
          </rPr>
          <t>Hendriks, Kees:</t>
        </r>
        <r>
          <rPr>
            <sz val="9"/>
            <color indexed="81"/>
            <rFont val="Tahoma"/>
            <family val="2"/>
          </rPr>
          <t xml:space="preserve">
rhizome biomass Mg dry weight ha-1</t>
        </r>
      </text>
    </comment>
    <comment ref="G326" authorId="0" shapeId="0" xr:uid="{27C1C57C-BD91-4656-8ECB-4320EC46C768}">
      <text>
        <r>
          <rPr>
            <b/>
            <sz val="9"/>
            <color indexed="81"/>
            <rFont val="Tahoma"/>
            <family val="2"/>
          </rPr>
          <t>Hendriks, Kees:</t>
        </r>
        <r>
          <rPr>
            <sz val="9"/>
            <color indexed="81"/>
            <rFont val="Tahoma"/>
            <family val="2"/>
          </rPr>
          <t xml:space="preserve">
shoot biomass g dry weight m-2</t>
        </r>
      </text>
    </comment>
    <comment ref="H326" authorId="0" shapeId="0" xr:uid="{563B59F0-5879-4A08-ABE5-9F1D51906728}">
      <text>
        <r>
          <rPr>
            <b/>
            <sz val="9"/>
            <color indexed="81"/>
            <rFont val="Tahoma"/>
            <family val="2"/>
          </rPr>
          <t>Hendriks, Kees:</t>
        </r>
        <r>
          <rPr>
            <sz val="9"/>
            <color indexed="81"/>
            <rFont val="Tahoma"/>
            <family val="2"/>
          </rPr>
          <t xml:space="preserve">
rhizome biomass Mg dry weight ha-1</t>
        </r>
      </text>
    </comment>
    <comment ref="G327" authorId="0" shapeId="0" xr:uid="{3588968F-1706-4188-99E0-4A48507E4913}">
      <text>
        <r>
          <rPr>
            <b/>
            <sz val="9"/>
            <color indexed="81"/>
            <rFont val="Tahoma"/>
            <family val="2"/>
          </rPr>
          <t>Hendriks, Kees:</t>
        </r>
        <r>
          <rPr>
            <sz val="9"/>
            <color indexed="81"/>
            <rFont val="Tahoma"/>
            <family val="2"/>
          </rPr>
          <t xml:space="preserve">
shoot biomass g dry weight m-2</t>
        </r>
      </text>
    </comment>
    <comment ref="H327" authorId="0" shapeId="0" xr:uid="{D583E5EB-D1C1-4FCE-B862-B25AB9A780BD}">
      <text>
        <r>
          <rPr>
            <b/>
            <sz val="9"/>
            <color indexed="81"/>
            <rFont val="Tahoma"/>
            <family val="2"/>
          </rPr>
          <t>Hendriks, Kees:</t>
        </r>
        <r>
          <rPr>
            <sz val="9"/>
            <color indexed="81"/>
            <rFont val="Tahoma"/>
            <family val="2"/>
          </rPr>
          <t xml:space="preserve">
rhizome biomass Mg dry weight ha-1</t>
        </r>
      </text>
    </comment>
    <comment ref="G328" authorId="0" shapeId="0" xr:uid="{6AD2F5D4-892D-4744-8C43-D5D2DD391EE1}">
      <text>
        <r>
          <rPr>
            <b/>
            <sz val="9"/>
            <color indexed="81"/>
            <rFont val="Tahoma"/>
            <family val="2"/>
          </rPr>
          <t>Hendriks, Kees:</t>
        </r>
        <r>
          <rPr>
            <sz val="9"/>
            <color indexed="81"/>
            <rFont val="Tahoma"/>
            <family val="2"/>
          </rPr>
          <t xml:space="preserve">
shoot biomass g dry weight m-2</t>
        </r>
      </text>
    </comment>
    <comment ref="H328" authorId="0" shapeId="0" xr:uid="{C56BD486-E4A7-4056-823C-B554D83048AA}">
      <text>
        <r>
          <rPr>
            <b/>
            <sz val="9"/>
            <color indexed="81"/>
            <rFont val="Tahoma"/>
            <family val="2"/>
          </rPr>
          <t>Hendriks, Kees:</t>
        </r>
        <r>
          <rPr>
            <sz val="9"/>
            <color indexed="81"/>
            <rFont val="Tahoma"/>
            <family val="2"/>
          </rPr>
          <t xml:space="preserve">
rhizome biomass Mg dry weight ha-1</t>
        </r>
      </text>
    </comment>
    <comment ref="G329" authorId="0" shapeId="0" xr:uid="{E1983FF0-1041-4D7A-8E06-FA64E207E8D7}">
      <text>
        <r>
          <rPr>
            <b/>
            <sz val="9"/>
            <color indexed="81"/>
            <rFont val="Tahoma"/>
            <family val="2"/>
          </rPr>
          <t>Hendriks, Kees:</t>
        </r>
        <r>
          <rPr>
            <sz val="9"/>
            <color indexed="81"/>
            <rFont val="Tahoma"/>
            <family val="2"/>
          </rPr>
          <t xml:space="preserve">
shoot biomass g dry weight m-2</t>
        </r>
      </text>
    </comment>
    <comment ref="H329" authorId="0" shapeId="0" xr:uid="{C320A84E-8B11-4DEC-B1CB-9B089CFC5245}">
      <text>
        <r>
          <rPr>
            <b/>
            <sz val="9"/>
            <color indexed="81"/>
            <rFont val="Tahoma"/>
            <family val="2"/>
          </rPr>
          <t>Hendriks, Kees:</t>
        </r>
        <r>
          <rPr>
            <sz val="9"/>
            <color indexed="81"/>
            <rFont val="Tahoma"/>
            <family val="2"/>
          </rPr>
          <t xml:space="preserve">
rhizome biomass Mg dry weight ha-1</t>
        </r>
      </text>
    </comment>
    <comment ref="M336" authorId="0" shapeId="0" xr:uid="{C943CBEE-1A18-4C2C-9E2C-9205A7627CCC}">
      <text>
        <r>
          <rPr>
            <b/>
            <sz val="9"/>
            <color indexed="81"/>
            <rFont val="Tahoma"/>
            <family val="2"/>
          </rPr>
          <t>Hendriks, Kees:</t>
        </r>
        <r>
          <rPr>
            <sz val="9"/>
            <color indexed="81"/>
            <rFont val="Tahoma"/>
            <family val="2"/>
          </rPr>
          <t xml:space="preserve">
litter and soil</t>
        </r>
      </text>
    </comment>
    <comment ref="I342" authorId="0" shapeId="0" xr:uid="{D8115863-48D9-4FB6-9B5F-23BDD245DEDF}">
      <text>
        <r>
          <rPr>
            <b/>
            <sz val="9"/>
            <color indexed="81"/>
            <rFont val="Tahoma"/>
            <family val="2"/>
          </rPr>
          <t>Hendriks, Kees:</t>
        </r>
        <r>
          <rPr>
            <sz val="9"/>
            <color indexed="81"/>
            <rFont val="Tahoma"/>
            <family val="2"/>
          </rPr>
          <t xml:space="preserve">
0-10cm
</t>
        </r>
      </text>
    </comment>
    <comment ref="I343" authorId="0" shapeId="0" xr:uid="{295C9DEE-D586-44E8-B708-3754E0F6D2E7}">
      <text>
        <r>
          <rPr>
            <b/>
            <sz val="9"/>
            <color indexed="81"/>
            <rFont val="Tahoma"/>
            <family val="2"/>
          </rPr>
          <t>Hendriks, Kees:</t>
        </r>
        <r>
          <rPr>
            <sz val="9"/>
            <color indexed="81"/>
            <rFont val="Tahoma"/>
            <family val="2"/>
          </rPr>
          <t xml:space="preserve">
0-10cm
</t>
        </r>
      </text>
    </comment>
  </commentList>
</comments>
</file>

<file path=xl/sharedStrings.xml><?xml version="1.0" encoding="utf-8"?>
<sst xmlns="http://schemas.openxmlformats.org/spreadsheetml/2006/main" count="2629" uniqueCount="702">
  <si>
    <t>Ecosystem</t>
  </si>
  <si>
    <t>Sub-ecosystem</t>
  </si>
  <si>
    <t>Measured/Modelled</t>
  </si>
  <si>
    <t>other</t>
  </si>
  <si>
    <t>Biomass Above Ground</t>
  </si>
  <si>
    <t>Biomass Below Ground</t>
  </si>
  <si>
    <t>Litter</t>
  </si>
  <si>
    <t>Sequestration rate Above ground</t>
  </si>
  <si>
    <t xml:space="preserve">Sequestration rate Belowground </t>
  </si>
  <si>
    <t>Sequestration rate Dead wood</t>
  </si>
  <si>
    <t>Sequestration rate, Litter</t>
  </si>
  <si>
    <t>Sequestration rate, Soil</t>
  </si>
  <si>
    <t>Reference</t>
  </si>
  <si>
    <t>Dead wood</t>
  </si>
  <si>
    <t>Country/Region/Climate</t>
  </si>
  <si>
    <t>other2</t>
  </si>
  <si>
    <t xml:space="preserve"> Soil carbon</t>
  </si>
  <si>
    <t>in:</t>
  </si>
  <si>
    <t>doi/website2</t>
  </si>
  <si>
    <t>Column5</t>
  </si>
  <si>
    <t>Cropland and horticulture</t>
  </si>
  <si>
    <t>broad habitat</t>
  </si>
  <si>
    <t>UK</t>
  </si>
  <si>
    <t>soil depth 0-15cm</t>
  </si>
  <si>
    <t>CS2007, Ostle et al. 2009 (veg)</t>
  </si>
  <si>
    <t>in Alonso et al 2012</t>
  </si>
  <si>
    <t>http://publications.naturalengland.org.uk/publication/1412347</t>
  </si>
  <si>
    <t>Cropland</t>
  </si>
  <si>
    <t>NLD</t>
  </si>
  <si>
    <t>soil depth 0-30 cm</t>
  </si>
  <si>
    <t>Lesschen et al 2012</t>
  </si>
  <si>
    <t>https://edepot.wur.nl/247683</t>
  </si>
  <si>
    <t>general</t>
  </si>
  <si>
    <t>Europe (total)</t>
  </si>
  <si>
    <t>emission</t>
  </si>
  <si>
    <t xml:space="preserve">Freibauer et al. 2004 </t>
  </si>
  <si>
    <t>Cropland (agriculture)</t>
  </si>
  <si>
    <t>global</t>
  </si>
  <si>
    <t>General</t>
  </si>
  <si>
    <t>cool or cold farms, towns</t>
  </si>
  <si>
    <t>cold and cool</t>
  </si>
  <si>
    <t>modelled</t>
  </si>
  <si>
    <t>olson et al. 1985</t>
  </si>
  <si>
    <t>https://cdiac.ess-dive.lbl.gov/ftp/ndp017/table.html</t>
  </si>
  <si>
    <t>warm or hot farms, cool grass/shrub, towns</t>
  </si>
  <si>
    <t>cool to warm</t>
  </si>
  <si>
    <t>Grassland</t>
  </si>
  <si>
    <t>Grassland (agriculture)</t>
  </si>
  <si>
    <t>Lorenz (2013)</t>
  </si>
  <si>
    <t>grazed grass, white clover</t>
  </si>
  <si>
    <t xml:space="preserve">temperate </t>
  </si>
  <si>
    <t xml:space="preserve">Grassland, improved </t>
  </si>
  <si>
    <t>grass and trifolium pratense</t>
  </si>
  <si>
    <t>de Deyn et al. 2010</t>
  </si>
  <si>
    <t>Grassland, maintained, grazed</t>
  </si>
  <si>
    <t>Grassland, improved</t>
  </si>
  <si>
    <t>Orchards-intensive</t>
  </si>
  <si>
    <t>Robertson et al. 2012</t>
  </si>
  <si>
    <t>Orchards-traditional</t>
  </si>
  <si>
    <t>Boreal</t>
  </si>
  <si>
    <t>range minimum</t>
  </si>
  <si>
    <t xml:space="preserve">Nieder, R. and D.K. Benbi (2008)  </t>
  </si>
  <si>
    <t>range maximum</t>
  </si>
  <si>
    <t>Moderate cool/cool tropics Humid/subhumid</t>
  </si>
  <si>
    <t>Moderate cool/cool tropics Semiarid/arid</t>
  </si>
  <si>
    <t>Semiarid/arid</t>
  </si>
  <si>
    <t>Temperate, Humid/subhumid</t>
  </si>
  <si>
    <t>Forest</t>
  </si>
  <si>
    <t>Boreal forest (Larcher 2003)</t>
  </si>
  <si>
    <t>Boreal Forest</t>
  </si>
  <si>
    <t>Larcher 2003</t>
  </si>
  <si>
    <t>Boreal forest (old stands) (Schulz 2000)</t>
  </si>
  <si>
    <t xml:space="preserve">exceptional high </t>
  </si>
  <si>
    <t>Schultz, J. (2000). Handbuch der Ökozonen. Stuttgart, Germany: Verlag Eugen Ulmer.</t>
  </si>
  <si>
    <t>Boreal forest (Schulz 2000)</t>
  </si>
  <si>
    <t>mean</t>
  </si>
  <si>
    <t>Boreal forest (Van Cleve 1983)</t>
  </si>
  <si>
    <t>minimum</t>
  </si>
  <si>
    <t>maximum</t>
  </si>
  <si>
    <t>Boreal forest (Vogt et al. 1996)</t>
  </si>
  <si>
    <t>Boreal forest Average Boreal forest (Schlesinger 1997)</t>
  </si>
  <si>
    <t>Plantation forest</t>
  </si>
  <si>
    <t>several tree spec</t>
  </si>
  <si>
    <t>MFV data in Lesschen et al 2012</t>
  </si>
  <si>
    <t>Close to nature forestry</t>
  </si>
  <si>
    <t>whole tree carbon stock</t>
  </si>
  <si>
    <t>Read et al. 2009</t>
  </si>
  <si>
    <t>Combined objective forestry</t>
  </si>
  <si>
    <t>Coniferous</t>
  </si>
  <si>
    <t xml:space="preserve">Olson, J. S., J. A. Watts, and L. J. Allison, 1985. Major World Ecosystem Complexes Ranked by Carbon in Live Vegetation (NDP-017). Carbon Dioxide Information Center, Oak Ridge National Laboratory, Oak Ridge, Tennessee </t>
  </si>
  <si>
    <t>Major World Ecosystem Complexes Ranked by Carbon in Live Vegetation: A Database (NDP-017)
DOI: 10.3334/CDIAC/lue.ndp017</t>
  </si>
  <si>
    <t>coniferous</t>
  </si>
  <si>
    <t>CS2007</t>
  </si>
  <si>
    <t>CS2007, roadmeadow and Matthews 2003 (veg)</t>
  </si>
  <si>
    <t>Coniferous North Boreal mature needleleaf forest (Schulz 2000)</t>
  </si>
  <si>
    <t>C content phytomass 42%</t>
  </si>
  <si>
    <t>Coniferous South Boreal  (Schulz 2000)</t>
  </si>
  <si>
    <t>mature needleleaf forest</t>
  </si>
  <si>
    <t>Boreal, south</t>
  </si>
  <si>
    <t>Deciduous</t>
  </si>
  <si>
    <t>deciduous</t>
  </si>
  <si>
    <t xml:space="preserve">Deciduous </t>
  </si>
  <si>
    <t xml:space="preserve">mid-latitude temperate broad-leaved forest </t>
  </si>
  <si>
    <t>mit-latitude</t>
  </si>
  <si>
    <t>Deciduous average broadleaf  forest humid  temperate  zone (Larcher 2003)</t>
  </si>
  <si>
    <t xml:space="preserve">temperate zone
Broadleaf deciduous forest of the humid </t>
  </si>
  <si>
    <t xml:space="preserve">temperate zone
</t>
  </si>
  <si>
    <t>upper limit, warmest and nutrient rich zones</t>
  </si>
  <si>
    <t>Deciduous average broadleaf  forest humid  temperate  zone (Proctor 1983)</t>
  </si>
  <si>
    <t>Broadleaf deciduous forest of the humid temperate zone</t>
  </si>
  <si>
    <t>temperate zone</t>
  </si>
  <si>
    <t xml:space="preserve"> temperate zone</t>
  </si>
  <si>
    <t>Deciduous average broadleaf  forest humid  temperate  zone (Schlesinger 1997)</t>
  </si>
  <si>
    <t>Deciduous evergreen oak forest (Quercus ilex S. France) (Mooney 1981)</t>
  </si>
  <si>
    <t>Mediterranean Ecosystems</t>
  </si>
  <si>
    <t>Deciduous, dry</t>
  </si>
  <si>
    <t>Bodemdata base in Lesschen et al 2012</t>
  </si>
  <si>
    <t>Coniferous, dry</t>
  </si>
  <si>
    <t>AUT</t>
  </si>
  <si>
    <t>Liski et al. (2002)</t>
  </si>
  <si>
    <t>https://doi.org/10.1016/S0378-1127(02)00306-7</t>
  </si>
  <si>
    <t>Schelhaas (2020) unpublished</t>
  </si>
  <si>
    <t>BEL</t>
  </si>
  <si>
    <t>Pan Y, Birdsey RA, Fang J, Houghton R, Kauppi PE, Kurz WA, Phillips OL, Shvidenko A, Lewis SL, Canadell JG, Ciais P, Jackson RB, Pacala S, McGuire AD, Piao S, Rautiainen A, Sitch S, Hayes D (2011) A large and persistent carbon sink in the world’s forests. Science 333:988–993</t>
  </si>
  <si>
    <t>Central Europe</t>
  </si>
  <si>
    <t>CEZ</t>
  </si>
  <si>
    <t>CHE</t>
  </si>
  <si>
    <t>DNK</t>
  </si>
  <si>
    <t>Liski, J., D. Perruchoud and T. Karjalainen (2002) Increasing carbon stocks in the forest soils of western Europe. Forest Ecol. Manage. p159-175.</t>
  </si>
  <si>
    <t>EST</t>
  </si>
  <si>
    <t>FIN</t>
  </si>
  <si>
    <t>FRA</t>
  </si>
  <si>
    <t>GER</t>
  </si>
  <si>
    <t>GRC</t>
  </si>
  <si>
    <t>HUN</t>
  </si>
  <si>
    <t>IRE</t>
  </si>
  <si>
    <t>IRL</t>
  </si>
  <si>
    <t>ITA</t>
  </si>
  <si>
    <t>LAT</t>
  </si>
  <si>
    <t>LIT</t>
  </si>
  <si>
    <t>LUX</t>
  </si>
  <si>
    <t>N Europe</t>
  </si>
  <si>
    <t>North-Western European forest soils</t>
  </si>
  <si>
    <t>North-Western Europe</t>
  </si>
  <si>
    <t>range lower border</t>
  </si>
  <si>
    <t>Chapman, S.J. (2009) Carbon sequestration in soils. In: Hester, R. E. (2009) Carbon capture : sequestration and storage. Cambridge: Royal Society of Chemistry (Issues in Environmental Science and Technology, 29). doi: 10.1039/9781847559715.</t>
  </si>
  <si>
    <t>https://doi.org/10.1039/9781847559715-00179</t>
  </si>
  <si>
    <t>range upper border</t>
  </si>
  <si>
    <t>NOR</t>
  </si>
  <si>
    <t>NW Europe</t>
  </si>
  <si>
    <t>POL</t>
  </si>
  <si>
    <t>POR</t>
  </si>
  <si>
    <t>ROM</t>
  </si>
  <si>
    <t>S Europe</t>
  </si>
  <si>
    <t>ESP</t>
  </si>
  <si>
    <t>SWE</t>
  </si>
  <si>
    <t>Temperate</t>
  </si>
  <si>
    <t>Jandl et al 2013</t>
  </si>
  <si>
    <t>Total</t>
  </si>
  <si>
    <t>Tropical</t>
  </si>
  <si>
    <t>UKR</t>
  </si>
  <si>
    <t>Intensive even-aged forestry</t>
  </si>
  <si>
    <t>Mixed</t>
  </si>
  <si>
    <t>second growth forest/fields</t>
  </si>
  <si>
    <t>second growth fields/woods</t>
  </si>
  <si>
    <t>mediterranean types &amp; dry highland woods</t>
  </si>
  <si>
    <t>mediterranean</t>
  </si>
  <si>
    <t xml:space="preserve"> mid-latitude Mixed woods (deciduous/evergreen/conifer)</t>
  </si>
  <si>
    <t>Nijnink, M. (2009) Carbon Capture and storage in forests. In: Hester, R. E. (2009) Carbon capture : sequestration and storage. Cambridge: Royal Society of Chemistry (Issues in Environmental Science and Technology, 29). doi: 10.1039/9781847559715.</t>
  </si>
  <si>
    <t xml:space="preserve">https://doi.org/10.1039/9781847559715  </t>
  </si>
  <si>
    <t>poplar (moderate growth)</t>
  </si>
  <si>
    <t>Slangen, Louis H.G., Cornelis van Kooten and Jean-Paul P.F. van Rie (1997) Economics of timber plantations on CO2 emissions in the Netherlands. Tijdschrift voor sociaal wetenschappelijk onderzoek 12(1997):4 p318-333</t>
  </si>
  <si>
    <t xml:space="preserve">https://www.researchgate.net/publication/284260522_Economics_of_timber_plantations_on_CO2_emissions_in_The_Netherlands </t>
  </si>
  <si>
    <t>poplar (good growth)</t>
  </si>
  <si>
    <t>Slangen et al. (1997)</t>
  </si>
  <si>
    <t>norway spruce</t>
  </si>
  <si>
    <t>Nijnink 2009</t>
  </si>
  <si>
    <t>Mixed species</t>
  </si>
  <si>
    <t xml:space="preserve">Crabtree, R. (1997) </t>
  </si>
  <si>
    <t>in: Nijnink, M. (2009) Carbon Capture and storage in forests. In: Hester, R. E. (2009) Carbon capture : sequestration and storage. Cambridge: Royal Society of Chemistry (Issues in Environmental Science and Technology, 29). doi: 10.1039/9781847559715.</t>
  </si>
  <si>
    <t>DEFRA (2001) The UK’s 3rd National Communication under the UN Framework
on Climate Change, London</t>
  </si>
  <si>
    <t>?</t>
  </si>
  <si>
    <t>Mixed species (farm woodland)</t>
  </si>
  <si>
    <t>DEFRA (2001)</t>
  </si>
  <si>
    <t>pine</t>
  </si>
  <si>
    <t>Ukraine, Carpatians</t>
  </si>
  <si>
    <t>spruce</t>
  </si>
  <si>
    <t>Crabtree, R. (1997) in:
ed. W. N. Adger, D. Pettenella and M. Whitby. Climate Change Mitigation and European Land-Use Policies, CAB International, Wallingford</t>
  </si>
  <si>
    <t>in Nijnink 2009</t>
  </si>
  <si>
    <t>hybrid poplar</t>
  </si>
  <si>
    <t>Riparian forests</t>
  </si>
  <si>
    <t>cool&amp;dry</t>
  </si>
  <si>
    <t>Dybala et al. 2018</t>
  </si>
  <si>
    <t xml:space="preserve">cool&amp;wet </t>
  </si>
  <si>
    <t>warm&amp;dry</t>
  </si>
  <si>
    <t xml:space="preserve">warm&amp;wet </t>
  </si>
  <si>
    <t xml:space="preserve">Dybala, Kirsten E,Virginia Matzek, Thomas Gardali, Nathaniel E Seavy (2018)
Carbon sequestration in riparian forests: A global synthesis and meta-analysis
</t>
  </si>
  <si>
    <t>Tundra, arctic desert, ice</t>
  </si>
  <si>
    <t>wooded Tundra</t>
  </si>
  <si>
    <t>Unmanaged forest nature reserve</t>
  </si>
  <si>
    <t>Forest, wet</t>
  </si>
  <si>
    <t>Wood biomass production</t>
  </si>
  <si>
    <t>Grassland, acid</t>
  </si>
  <si>
    <t>Brown calcareous earths</t>
  </si>
  <si>
    <t>Milne and Browne 1997</t>
  </si>
  <si>
    <t>Grassland, dry, nutrient poor</t>
  </si>
  <si>
    <t>grass and herbs</t>
  </si>
  <si>
    <t>Fliervoet 1984 in Lesschen et al 2012</t>
  </si>
  <si>
    <t>Fliervoet 1987 in Lesschen et al 2012</t>
  </si>
  <si>
    <t>Vermeer en Berendse 1983 in Lesschen et al. 2012</t>
  </si>
  <si>
    <t xml:space="preserve">https://edepot.wur.nl/247686 </t>
  </si>
  <si>
    <t>Janssens et al. 2005</t>
  </si>
  <si>
    <t>Humic-alluvial gley soils</t>
  </si>
  <si>
    <t>Grassland, neutral (pH)</t>
  </si>
  <si>
    <t>Peatland semi-natural peat meadow</t>
  </si>
  <si>
    <t>different types of grasses (dominant species Holcus lanatus,
Phalaris arundinacea, Glyceria fluitans), horsetail (Equisetum
palustre, fluviatile) reeds (Phragmites australis, Typha
latifolia) and high forbs (Urtica diocia, Cirsium arvense,
palustre).</t>
  </si>
  <si>
    <t>Boreal, Finland</t>
  </si>
  <si>
    <t>Hendriks et al. 2007</t>
  </si>
  <si>
    <t>https://bg.copernicus.org/articles/4/411/2007/bg-4-411-2007.pdf</t>
  </si>
  <si>
    <t>Podsols</t>
  </si>
  <si>
    <t>Grassland, nutrient rich</t>
  </si>
  <si>
    <t>Koolstra et al 2008 in Lesschen et al 2012</t>
  </si>
  <si>
    <t>Steppe Dessert steppe (Woledge and Parson 1986?)</t>
  </si>
  <si>
    <t>Temperate grasslands (steppe)</t>
  </si>
  <si>
    <t>Steppe Forest steppe (Eurasie) (Schulz 2000)</t>
  </si>
  <si>
    <t>Steppe Short grass steppe (Woledge and Parson 1986?)</t>
  </si>
  <si>
    <t>Steppe Tall grass steppe (Eurasie) (Woledge and Parson 1986)</t>
  </si>
  <si>
    <t>Tall grass steppe (Eurasie) (Woledge and Parson 1986)</t>
  </si>
  <si>
    <t>Grassland, wet</t>
  </si>
  <si>
    <t>Grassland wet</t>
  </si>
  <si>
    <t>Grassland, wet'</t>
  </si>
  <si>
    <t xml:space="preserve">grassland, wet </t>
  </si>
  <si>
    <t>Vermeer en Berendse 1983 in Lesschen et al 2012</t>
  </si>
  <si>
    <t>Grassland, wet, nutrient poor</t>
  </si>
  <si>
    <t>Heathland</t>
  </si>
  <si>
    <t>Heathland, dry</t>
  </si>
  <si>
    <t>calluna, 50 years after cutting</t>
  </si>
  <si>
    <t>Berendse, 1990 in Lesschen et al. 2012</t>
  </si>
  <si>
    <t>calluna, molinia dominated 50 years after cutting</t>
  </si>
  <si>
    <t>calluna</t>
  </si>
  <si>
    <t>Nabuurs et al 2005 in Lesschen et al. 2012</t>
  </si>
  <si>
    <t>van vuuren et al. 2012 in lesschen et al 2012</t>
  </si>
  <si>
    <t xml:space="preserve">calluna, molinia </t>
  </si>
  <si>
    <t>calluna, deschampsia</t>
  </si>
  <si>
    <t>strooisel, Oh-laag en minerale bodem, Deschampsia, edese heide</t>
  </si>
  <si>
    <t>van vuuren et al. 2012 in Lesschen et al</t>
  </si>
  <si>
    <t>Dwarf shrub, heath</t>
  </si>
  <si>
    <t>Heathland and moreland</t>
  </si>
  <si>
    <t>cool</t>
  </si>
  <si>
    <t>Ostle et al. 2009</t>
  </si>
  <si>
    <t>Warner 2008</t>
  </si>
  <si>
    <t>Heathland wet upland Heathland</t>
  </si>
  <si>
    <t xml:space="preserve">Calluna vulgaris, Vaccinium myrtillus </t>
  </si>
  <si>
    <t>UK, Clocaenog, Wales</t>
  </si>
  <si>
    <t>measured</t>
  </si>
  <si>
    <t xml:space="preserve">Calluna vulgaris, Deschampsia flexuosa </t>
  </si>
  <si>
    <t>sowerby et al. 2008</t>
  </si>
  <si>
    <t xml:space="preserve">Calluna vulgaris, Molinia caerulea, Deschampsia flexuosa </t>
  </si>
  <si>
    <t>NLD, Oldebroek, Central NL</t>
  </si>
  <si>
    <t>Heathland, wet</t>
  </si>
  <si>
    <t>erica</t>
  </si>
  <si>
    <t>0-30 cm, incl strooisel</t>
  </si>
  <si>
    <t>strooisel, Oh-laag en minerale bodem, Erica, uddeler buurtveld</t>
  </si>
  <si>
    <t>erica, molinia</t>
  </si>
  <si>
    <t>strooisel, Oh-laag en minerale bodem, Molinia, uddeler buurtveld</t>
  </si>
  <si>
    <t>Polar desert</t>
  </si>
  <si>
    <t>High Arctic</t>
  </si>
  <si>
    <t>sand dunes</t>
  </si>
  <si>
    <t>Open sand dunes, drifting sand</t>
  </si>
  <si>
    <t>Netherlands</t>
  </si>
  <si>
    <t>R. Nieder, D.K. Benbi, Carbon and Nitrogen in the Terrestrial Environment, 5 © Springer Science + Business Media B.V. 2008</t>
  </si>
  <si>
    <t>Shrub</t>
  </si>
  <si>
    <t>warm or hot schrub and grassland (marginal lands)</t>
  </si>
  <si>
    <t>warm</t>
  </si>
  <si>
    <t>Shrub Evergreen shrub (Garrigue, S. France) (Mooney 1981)</t>
  </si>
  <si>
    <t>Shrub Semi-shrub vegetation (Phygana, Greece)</t>
  </si>
  <si>
    <t>Tundra</t>
  </si>
  <si>
    <t>Shrub, small</t>
  </si>
  <si>
    <t>Low Arctic</t>
  </si>
  <si>
    <t>Shrub, tall</t>
  </si>
  <si>
    <t>Shrub Tussock/sedge dwarf shrub Tundra</t>
  </si>
  <si>
    <t xml:space="preserve">Taiga </t>
  </si>
  <si>
    <t>main-boreal taiga</t>
  </si>
  <si>
    <t>boreal</t>
  </si>
  <si>
    <t>northern or maritime taiga, subalpine</t>
  </si>
  <si>
    <t>subalpine, northern</t>
  </si>
  <si>
    <t>arctic</t>
  </si>
  <si>
    <t>Wetland</t>
  </si>
  <si>
    <t xml:space="preserve"> Mire Meso–eutrophic Mires</t>
  </si>
  <si>
    <t>Herb-rich sedge fen, RhSN
Eutrophic fen, VL
Eutrophic  ark fen, RiL
Herb-rich  ark fen, RhRiN
Eutrophic birch fen, KoL
Herb-rich sedge birch-pine fen, RhSR
Eutrophic pine fen, LR
Tall-sedge hardwood-spruce fen, VSK
Herb-rich sedge hardwood-spruce fen, RhSK</t>
  </si>
  <si>
    <t>aangepast was factor 10^4 te laag</t>
  </si>
  <si>
    <t>turunen et al. 2002</t>
  </si>
  <si>
    <t xml:space="preserve">https://doi.org/10.1191/0959683602hl522rp  </t>
  </si>
  <si>
    <t>Mire Oligotrophic forested Mires</t>
  </si>
  <si>
    <t>Spruce-pine swamp, KR
Paludi ed pine forest, KgR
Carex globularis pine swamp, PsR
Carex globularis spruce swamp, PsK</t>
  </si>
  <si>
    <t>Turunen et al. (2002)</t>
  </si>
  <si>
    <t>Generals, wet</t>
  </si>
  <si>
    <t>agricultural fields</t>
  </si>
  <si>
    <t>Kayranli et al 2010</t>
  </si>
  <si>
    <t xml:space="preserve">ALONSO, I., WESTON, K., GREGG, R. &amp; MORECROFT, M. 2012. Carbon storage by habitat - Review of the evidence of the impacts of management decisions and condition on carbon stores and sources. Natural England Research Reports, Number NERR043. </t>
  </si>
  <si>
    <t>Agroecosystems, wet</t>
  </si>
  <si>
    <t>Peatland, bog</t>
  </si>
  <si>
    <t>Sphagnum species (fuscum, rubellum–fuscum and magellanicum stages)</t>
  </si>
  <si>
    <t>Boreal, Sweden</t>
  </si>
  <si>
    <t>Belyea and Malmer 2004</t>
  </si>
  <si>
    <t>Atlantic Scotland</t>
  </si>
  <si>
    <t>aangepast, was g C m-2 yr-1 nu Mg C yr-1</t>
  </si>
  <si>
    <t>Ratcliff et al 2018</t>
  </si>
  <si>
    <t>Ratcliffe, J, Payne, Richard John, Sloan, T et al. (7 more authors) (2018) Holocene carbon
accumulation in the peatlands of northern Scotland. Mires and Peat. ISSN 1819-754X
10.19189/MaP.2018.OMB.347</t>
  </si>
  <si>
    <t xml:space="preserve">https://doi.org/10.19189/MaP.2018.OMB.347 </t>
  </si>
  <si>
    <t xml:space="preserve">http://Mires-and-peat.net/media/map23/map_23_03.pdf </t>
  </si>
  <si>
    <t>boreal, Finland</t>
  </si>
  <si>
    <t>Moore 2002</t>
  </si>
  <si>
    <t>Moore, P.D. (2002) The future of cool temperate bogs. Environmental Conservation 29 (1): 3–20 
DOI:10.1017/S0376892902000024</t>
  </si>
  <si>
    <t xml:space="preserve">https://doi.org/10.1017/S0376892902000024 </t>
  </si>
  <si>
    <t>northern peatlands, Finland</t>
  </si>
  <si>
    <t>Clymo et al. 1998</t>
  </si>
  <si>
    <t>Clymo, R.S., Turunen, J. &amp; Tolonen, K. (1998) Carbon accumulation in peatland. Oikos 81: 368–388.</t>
  </si>
  <si>
    <t xml:space="preserve">https://www.jstor.org/stable/3547057 </t>
  </si>
  <si>
    <t xml:space="preserve">Peatland, bog </t>
  </si>
  <si>
    <t>Gorham, E. 1991: Northern peatlands: role in the carbon cycle and probable
responses to climatic warming. Ecological Applications 1, 182–95.</t>
  </si>
  <si>
    <t>https://www.jstor.org/stable/3547057</t>
  </si>
  <si>
    <t>Coastal</t>
  </si>
  <si>
    <t>Jones et al. 2008</t>
  </si>
  <si>
    <t>NEA 2011</t>
  </si>
  <si>
    <t>Fen Oligotrophic open fens</t>
  </si>
  <si>
    <t>Tall-sedge fen, VSN 
Flark fen, VRiN</t>
  </si>
  <si>
    <t>Fen, montane</t>
  </si>
  <si>
    <t>USA, Yosemite</t>
  </si>
  <si>
    <t>Drexler et al 2015</t>
  </si>
  <si>
    <t xml:space="preserve">Judith Z. Drexler, Christopher C. Fuller, James Orlando &amp; Peggy E. Moore (2015) Recent Rates of Carbon Accumulation in Montane Fens of Yosemite National Park, California, U.S.A., Arctic, Antarctic, and Alpine Research, 47:4, 657-669, DOI: 10.1657/AAAR0015-002 </t>
  </si>
  <si>
    <t xml:space="preserve">http://dx.doi.org/10.1657/AAAR0015-002 </t>
  </si>
  <si>
    <t>Floodplain</t>
  </si>
  <si>
    <t>Danube, Austria</t>
  </si>
  <si>
    <t>Zehetner F, Lair GJ, Gerzabek MH (2009) Rapid carbon accretion and organic matter pool stabilization in riverine floodplain soils. Glob Biogeochem Cycles 23:1–7</t>
  </si>
  <si>
    <t>https://agupubs.onlinelibrary.wiley.com/doi/10.1029/2009GB003481</t>
  </si>
  <si>
    <t>Mangroves</t>
  </si>
  <si>
    <t>tropical</t>
  </si>
  <si>
    <t>Nellemann, C., Corcoran, E., Duarte, C. M., Valdés, L., De Young, C., Fonseca, L. &amp; Grimsditch, G. (Eds). (2009): Blue Carbon. The role of healthy oceans in binding carbon. A Rapid Response Assessment. United Nations Environment Programme, GRID-Arendal. Downloaded on August 14, 2015 at: http://bluecarbonportal.org/the-new-blue-carbon-homepage-2/document-inventory/download-info/nellemann-et-al-2009-blue-carbon-the-role-of-healthy-oceans-in-binding-carbon/</t>
  </si>
  <si>
    <t>in: Tamis, J.E. and E.M. Foekema (20015) A review of blue carbon in the Netherlands Wageningen, Imares, rapport C151/15</t>
  </si>
  <si>
    <t>https://edepot.wur.nl/362935</t>
  </si>
  <si>
    <t>Siikamäki, J., Sanchirico, J.N., Jardine, S., McLaughlin, D., Morris, D. Blue carbon: Coastal ecosystems, their carbon storage, and potential for reducing emissions (2013) Environment, 55 (6), pp. 14-29.</t>
  </si>
  <si>
    <t>https://doi.org/10.1080/00139157.2013.843981</t>
  </si>
  <si>
    <t>Marsh, fen, swamp</t>
  </si>
  <si>
    <t>Mire</t>
  </si>
  <si>
    <t>Tolonen, K. and Turunen, J. 1996: Accumulation rates of carbon in Mires
in Finland and implications for climate change. The Holocene 6, 171–78.</t>
  </si>
  <si>
    <t xml:space="preserve">https://doi.org/10.1177%2F095968369600600204 </t>
  </si>
  <si>
    <t>bog/Mire of cool or cold climates</t>
  </si>
  <si>
    <t>Mire Oligotrophic fen-like Mires</t>
  </si>
  <si>
    <t>Tall-sedge pine fen, VSR 
Cottongrass-sedge pine fen, TSR</t>
  </si>
  <si>
    <t>Mire Wet sedge</t>
  </si>
  <si>
    <t xml:space="preserve">Mire, Aapa
subarctic flark fen </t>
  </si>
  <si>
    <t>subartic Finland</t>
  </si>
  <si>
    <t>Aurela, Laurila and Tuovinen, 2002</t>
  </si>
  <si>
    <t xml:space="preserve">
Annual CO₂ balance of a subarctic fen in northern Europe: Importance of the wintertime efflux
door Mika Aurela, Tuomas Laurila, Juha-Pekka Tuovinen 2002
Materiaalsoort:ArtikelPublicatiejaar:2002Tijdschrift:Journal of Geophysical Research: Atmospheres v107 nD21 (16 November 2002): ACH 17-1-ACH 17-12</t>
  </si>
  <si>
    <t>https://doi.org/10.1029/2002JD002055</t>
  </si>
  <si>
    <t>Mire, Meso (oligo)–eutrophic forested Mires</t>
  </si>
  <si>
    <t>Eutrophic paludi ed hardwood-spruce forest, LhK Meso 
Herb-rich hardwood-spruce swamp, RhK
Eutrophic hardwood-spruce fen, VLK
Paludi ed Vaccinium myrtillus spruce forest, KgK
Vaccinium myrtillus spruce swamp, MK
Vaccinium vitis-idaea spruce swamp, PK</t>
  </si>
  <si>
    <t>LORCA (Mg C ha-1 yr-1)</t>
  </si>
  <si>
    <t>Mire, bog</t>
  </si>
  <si>
    <t>Menyanthes trifoliata, Eriophorum vaginatum, Carex rostrata, C. limosa, Equisetum fluviatile, S. majus, S. angustifolium, S. magellanicum</t>
  </si>
  <si>
    <t>south-west Siberia</t>
  </si>
  <si>
    <t>Friborg et al. 2003</t>
  </si>
  <si>
    <t>Peatland, oligotrophic</t>
  </si>
  <si>
    <t>floating mat, oud veen niet meegenomen</t>
  </si>
  <si>
    <t>bakker et al. 1997 in Lesschen et al. 2012</t>
  </si>
  <si>
    <t>Ombrotrophic pine bogs</t>
  </si>
  <si>
    <t>Sphagnum fuscum pine bog, RaR 
Ridge-hollow pine bog, KeR
Low-sedge Sphagnum papillosum pine fen, LkR</t>
  </si>
  <si>
    <t>Peatland</t>
  </si>
  <si>
    <t>Boreal, Canada</t>
  </si>
  <si>
    <t>Sphagnum fuscum peat</t>
  </si>
  <si>
    <t>Kuhry, P. and Vitt, D.H. 1996: Fossil carbon/nitrogen rations as a measure
of peat decomposition. Ecology 77(1), 271–75.</t>
  </si>
  <si>
    <t xml:space="preserve">https://doi.org/10.2307/2265676 </t>
  </si>
  <si>
    <t>Turunen J, Tomppo E, Tolonen K et al (2002) Estimating carbon accumulation rates of undrained Mires in Finland: application to boreal and subarctic regions. The Holocene 12:79–90</t>
  </si>
  <si>
    <t>Boreal, Russia</t>
  </si>
  <si>
    <t>LORCAL long-term apparent rate of carbon accumulation</t>
  </si>
  <si>
    <t>Botch, M.S., Kobak, K.I., Vinson, T.S. and Kolchugina, T.P. 1995:
Carbon pools and accumulation in peatlands of the Former Soviet Union.
Global Biogeochemical Cycles 9, 37–46.</t>
  </si>
  <si>
    <t xml:space="preserve"> https://doi.org/10.1029/94GB03156</t>
  </si>
  <si>
    <t>meadow</t>
  </si>
  <si>
    <t>Hendriks DMD, van Huissteden J, Dolman AJ et al (2007) The full greenhouse gas balance of an abandoned peat meadow. Biogeosci Discuss 4:411–424</t>
  </si>
  <si>
    <t>Temperate, Finland</t>
  </si>
  <si>
    <t>oligotrophic peat (floating peat)</t>
  </si>
  <si>
    <t>oligotrophic peat (mowed annually)</t>
  </si>
  <si>
    <t>Verhoeven et al. 1996 in Lesschen et al. 2012</t>
  </si>
  <si>
    <t>oligotrophic peat</t>
  </si>
  <si>
    <t xml:space="preserve">Peatland </t>
  </si>
  <si>
    <t>Peatland  Ombro–oligotrophic open bogs</t>
  </si>
  <si>
    <t>Low-sedge Sphagnum papillosum fen, LkKaN 
Low-sedge fen, LkN
Sphagnum fuscum bog, RaN</t>
  </si>
  <si>
    <t>Peatland  Ombro–oligotrophic pine bogs</t>
  </si>
  <si>
    <t>Dwarf-shrub pine bog, IR 
Cottongrass pine bog, TR</t>
  </si>
  <si>
    <t>Peatland, blanket bog</t>
  </si>
  <si>
    <t>Atlantic Ireland</t>
  </si>
  <si>
    <t>Sottocornola and Kiely, 2005</t>
  </si>
  <si>
    <t xml:space="preserve">
Matteo Sottocornola, Gerard Kiely (2010) Hydro-meteorological controls on the CO2 exchange variation in an Irish blanket bog.
Volume 150, Issue 2, Pages 287-297
https://doi.org/10.1016/j.agrformet.2009.11.013</t>
  </si>
  <si>
    <t>(Koehler, Sottocornola and Kiely, 2011)</t>
  </si>
  <si>
    <t>soil depth 0-50cm</t>
  </si>
  <si>
    <t>Peatlands</t>
  </si>
  <si>
    <t>Raised bog</t>
  </si>
  <si>
    <t>boreaal, Finland</t>
  </si>
  <si>
    <t>Tuittila, 2013</t>
  </si>
  <si>
    <t xml:space="preserve">
Wetland chronosequence as a model of peatland development: Vegetation succession, peat and carbon accumulation
Tuittila, Eeva-Stiina; Juutinen, Sari; Frolking, Steve; Väliranta, Minna; Laine, Anna M; et al. The Holocene; London Vol. 23, Iss. 1,  (Jan 2013): 25-35.  DOI:10.1177/0959683612450197  </t>
  </si>
  <si>
    <t xml:space="preserve">DOI:10.1177/0959683612450197 </t>
  </si>
  <si>
    <t>Raised Bog</t>
  </si>
  <si>
    <t xml:space="preserve">https://doi.org/10.1177/0959683612450197 </t>
  </si>
  <si>
    <t>Reed marshes</t>
  </si>
  <si>
    <t>Boreal, Lake Takern, Sweden</t>
  </si>
  <si>
    <t>brix et al 2001</t>
  </si>
  <si>
    <t>https://doi.org/10.1016/S0304-3770(01)00145-0</t>
  </si>
  <si>
    <t>Boreal, Umea, Sweden</t>
  </si>
  <si>
    <t>Brix et al. 2001</t>
  </si>
  <si>
    <t xml:space="preserve">https://www.cabdirect.org/cabdirect/abstract/20153334870 </t>
  </si>
  <si>
    <t>Comana Lake, Octaploid, Romania</t>
  </si>
  <si>
    <t>Danube Lake, Romania</t>
  </si>
  <si>
    <t>Denmark</t>
  </si>
  <si>
    <t>Brix H, Sorrell BK, Lorenzen B (2001) Are Phragmites-dominated wetlands a net source or net sink of greenhouse gases? Aquat Bot 69:313–324</t>
  </si>
  <si>
    <t>Phragmites australis and Scirpus sylvaticus</t>
  </si>
  <si>
    <t>Estonia</t>
  </si>
  <si>
    <t>constructed freshwater marsh, waste water treatment</t>
  </si>
  <si>
    <t>Mander Ü, Lõhmus K, Teiter S et al (2008) Gaseous fluxes in the nitrogen and carbon budgets of subsurface flow constructed wetlands. Sci Total Environ 404:343–353</t>
  </si>
  <si>
    <t xml:space="preserve">https://doi.org/10.1016/j.scitotenv.2008.03.014 </t>
  </si>
  <si>
    <t>Lake Ferto, Hungary</t>
  </si>
  <si>
    <t>Rozmberk Fishpond, Czech Republic</t>
  </si>
  <si>
    <t>Slotermeer, Netherlands</t>
  </si>
  <si>
    <t>Vejlerne Reserve, Denmark</t>
  </si>
  <si>
    <t>phragmites</t>
  </si>
  <si>
    <t>phragmites, (mesotrofe tot eutrofe fens gemaaid in de zomer)</t>
  </si>
  <si>
    <t>Koerselman en Verhoeven 1992 in Lesschen et al. 2012</t>
  </si>
  <si>
    <t>estimated</t>
  </si>
  <si>
    <t>bodem en strooisel</t>
  </si>
  <si>
    <t>wolf 1990 in Lesschen et al 2012</t>
  </si>
  <si>
    <t xml:space="preserve">Reed marshes </t>
  </si>
  <si>
    <t>Reed marsheses</t>
  </si>
  <si>
    <t xml:space="preserve">Phragmites australis </t>
  </si>
  <si>
    <t>River</t>
  </si>
  <si>
    <t>river</t>
  </si>
  <si>
    <t>Salt marshes</t>
  </si>
  <si>
    <t>nellemann et al. 2009</t>
  </si>
  <si>
    <t>Siikamaki et al (2013)</t>
  </si>
  <si>
    <t>Kiehl et al 2012 in Lesschen et al 2012</t>
  </si>
  <si>
    <t>lower limit, coldest and nutrient poorest zones</t>
  </si>
  <si>
    <t xml:space="preserve">Arctic </t>
  </si>
  <si>
    <t>Arctic, Canada</t>
  </si>
  <si>
    <t xml:space="preserve">
Maaroufi, N., A. Nordin, N.J. Hasselquist, L.H. Bach, K. Palmqvist and M.J. Gundale (2015) Anthropogenid nitrogen deposition enhances carbon sequestration in boreal soils. Global Change Biology, Volume 21:8</t>
  </si>
  <si>
    <t>Global</t>
  </si>
  <si>
    <t xml:space="preserve">Björk, R.G., H. Majdi, L. Klemedtsson, L. Lewis‐Jonsson, U. Molau (2007) Long‐term warming effects on root morphology, root mass distribution, and microbial activity in two dry tundra plant communities in northern Sweden. New Phytologist, 
Volume 176, Issue 4 </t>
  </si>
  <si>
    <t>https://doi.org/10.1111/j.1469-8137.2007.02231.x</t>
  </si>
  <si>
    <t>Arctic</t>
  </si>
  <si>
    <t>Northern Sweden</t>
  </si>
  <si>
    <t>heath</t>
  </si>
  <si>
    <t>heath, Empetrum</t>
  </si>
  <si>
    <t>Campioli, M., Michelsen, A., Demey, A. et al. Net Primary Production and Carbon Stocks for Subarctic Mesic–Dry Tundras with Contrasting Microtopography, Altitude, and Dominant Species. Ecosystems 12, 760–776 (2009). https://doi.org/10.1007/s10021-009-9255-3</t>
  </si>
  <si>
    <t>https://doi.org/10.1007/s10021-009-9255-3</t>
  </si>
  <si>
    <t>heath, Cassipe</t>
  </si>
  <si>
    <t>heath, Empetrion</t>
  </si>
  <si>
    <t>Jonasson, S. 1992. Organic matter and phytomass on three north Swedish tundra sites, and some connections with adjacent tundra areas. Ecography, Vol.5(4) 367-375.</t>
  </si>
  <si>
    <t>https://doi.org/10.1111/j.1600-0587.1982.tb01050.x</t>
  </si>
  <si>
    <t>heath, Myrtillion</t>
  </si>
  <si>
    <t>heath, mixed shrub</t>
  </si>
  <si>
    <t>Chmura GL, Anisfeld SC, Cahoon DR, Lynch JC (2003) Global carbon sequestration in tidal, saline wetland soils. Glob Biogeochem Cycles 17:1111</t>
  </si>
  <si>
    <t xml:space="preserve">https://doi.org/10.1029/2002GB001917 </t>
  </si>
  <si>
    <t>NLD, st Annaland</t>
  </si>
  <si>
    <t>Chmura et al (2003)</t>
  </si>
  <si>
    <t>NLD, Scheldt</t>
  </si>
  <si>
    <t>UK, Dengie Marsh</t>
  </si>
  <si>
    <t>UK, Hut marsh</t>
  </si>
  <si>
    <t>DKN, Skallingen</t>
  </si>
  <si>
    <t>FRA, Rhone delta</t>
  </si>
  <si>
    <t>NE Atlantic</t>
  </si>
  <si>
    <t>NLD, west Waddensea</t>
  </si>
  <si>
    <t>Teunis, M. and Didderen, K. (2018). Blue Carbon in Nederlandse kwelders. Resultaten van vier kwelders
in beheergebieden van Natuurmonumenten. Bureau Waardenburg Rapportnr. 18-301. Bureau Waardenburg, Culemborg.</t>
  </si>
  <si>
    <t>https://www.klimaatbuffers.nl/uploads/news/08112018-blue-carbon-in-nederland-9968b7.1a1d71.pdf</t>
  </si>
  <si>
    <t>NLD, East Scheldt</t>
  </si>
  <si>
    <t>Teunis and Didderen (2018)</t>
  </si>
  <si>
    <t>NLD, West Scheldt</t>
  </si>
  <si>
    <t>NLD, North coast</t>
  </si>
  <si>
    <t>NLD, mean</t>
  </si>
  <si>
    <t>mean is presented;
range 64-576</t>
  </si>
  <si>
    <t>mean is presented;
range 200-410</t>
  </si>
  <si>
    <t xml:space="preserve">DKN </t>
  </si>
  <si>
    <t>mean is presented;
range 210-270</t>
  </si>
  <si>
    <t xml:space="preserve">FRA </t>
  </si>
  <si>
    <t>fen peatland</t>
  </si>
  <si>
    <t>Caricetum rostratae, Carex paniculata, Comarum palustre, Phragmites australis, Thelepteris palustris, Galium uliginosum</t>
  </si>
  <si>
    <t xml:space="preserve">Poland, Biebrza National Park </t>
  </si>
  <si>
    <t>wet year</t>
  </si>
  <si>
    <t>Krzysztof Fortuniak a, 1, Włodzimierz Pawlak a, Leszek Bednorz b, Mateusz Grygoruk c, Mariusz Siedlecki a, Mariusz Zieliński d (2017) Methane and carbon dioxide fluxes of a temperate mire in Central Europe. Agricultural and Forest Meteorology, Vol 232, 306-318</t>
  </si>
  <si>
    <t>dry year</t>
  </si>
  <si>
    <t>fen, small-scale</t>
  </si>
  <si>
    <t>Milinea caerula, Cares rostrata, Valeriana dioica, Scorpidium cossonii, Sphagnum spp., Eriophorum vaginatum, Carex nigra, Trichophorum alpinum, Drosera rotundifolia</t>
  </si>
  <si>
    <t>net emission over 3 year periode (2012-2014)</t>
  </si>
  <si>
    <t>J.W.M. Pullens a, c, M. Sottocornola b, G. Kiely c, P. Toscano d, D. Gianelle (2016) Carbon fluxes of an alpine peatland in Northern Italy. Agricultural and Forest Meteorology, Vol. 220, 69-82</t>
  </si>
  <si>
    <t>Peatland, Blanket bog</t>
  </si>
  <si>
    <t>McVeigh et al. (2014)</t>
  </si>
  <si>
    <t>in Pullens et al 2016</t>
  </si>
  <si>
    <t>Peatland, Eccentric bog</t>
  </si>
  <si>
    <t>Lund et al. (2007, 2010)</t>
  </si>
  <si>
    <t>Peatland, Raised bog</t>
  </si>
  <si>
    <t>Roulet et al. (2007)</t>
  </si>
  <si>
    <t>Peatland, mixed mire</t>
  </si>
  <si>
    <t>Backstrand et al. (2020)</t>
  </si>
  <si>
    <t xml:space="preserve">Peatland, restored </t>
  </si>
  <si>
    <t>Netherlands, Horstermeer</t>
  </si>
  <si>
    <t>Hendriks et al. (2007)</t>
  </si>
  <si>
    <t>Peatland, Fen</t>
  </si>
  <si>
    <t>Sonnentag et al. (2010)</t>
  </si>
  <si>
    <t>Beetz et al. (2013)</t>
  </si>
  <si>
    <t>Aurela et al. (2009, 2015)</t>
  </si>
  <si>
    <t>Peatland, Fen poor</t>
  </si>
  <si>
    <t>Nilson et al. (2008)</t>
  </si>
  <si>
    <t>Mire forested</t>
  </si>
  <si>
    <t>tall sedge pine fen,
 Pinus sylvestris, Betula pubescens, Betula nana, Ledum palustre, Carex lasiocarpa, Carex rostrata, Sphagnum spp.</t>
  </si>
  <si>
    <t xml:space="preserve">Finland </t>
  </si>
  <si>
    <t>undrained, 3300 yrs old peat site, no tree harvesting</t>
  </si>
  <si>
    <t>undrained, mean sequestration over 3300 yr.</t>
  </si>
  <si>
    <t xml:space="preserve">Jukka Laine &amp; Kari Minkkinen (1996) Effect of forest drainage on the carbon balance of a mire: A case study, Scandinavian Journal of Forest Research, 11:1-4, 307-312, DOI: 10.1080/02827589609382940 </t>
  </si>
  <si>
    <t>after 300 yr drainage (simulated), no tree harvesting</t>
  </si>
  <si>
    <t>drained, loss of C over a 30 yr period of drainage</t>
  </si>
  <si>
    <t>after 300 yr drainage (simulated), regular tree harvesting</t>
  </si>
  <si>
    <t>Peatland, northern</t>
  </si>
  <si>
    <t>global mean</t>
  </si>
  <si>
    <t>Martin Lavoie, David Paré and Yves Bergeron
Environmental Reviews , Vol. 13, No. 4 (2005), pp. 199-240</t>
  </si>
  <si>
    <t xml:space="preserve">https://doi.org/10.1139/A05-014 </t>
  </si>
  <si>
    <t>old forest 200 yrs</t>
  </si>
  <si>
    <t>Pregitzer and Euskirchen (2004),</t>
  </si>
  <si>
    <t>Bartlett, J., Rusch, G.M., Kyrkjeeide, M.O., Sandvik, H. &amp; Nordén, J. 2020. Carbon storage in Norwegian ecosystems (revised edition). NINA Report 1774b. Norwegian Institute for Nature Research.</t>
  </si>
  <si>
    <t>https://hdl.handle.net/11250/2655580</t>
  </si>
  <si>
    <t>forest 70-200 yrs</t>
  </si>
  <si>
    <t>natural forest</t>
  </si>
  <si>
    <t>average for Norwegian forest</t>
  </si>
  <si>
    <t xml:space="preserve">Norway </t>
  </si>
  <si>
    <t>Norwegian Environment Agency 2019a</t>
  </si>
  <si>
    <t>scandinavian forest</t>
  </si>
  <si>
    <t>southern and middle boreal forest</t>
  </si>
  <si>
    <t>northern boreal forest</t>
  </si>
  <si>
    <t>fennoscandinavian forest</t>
  </si>
  <si>
    <t>Beech</t>
  </si>
  <si>
    <t>Vesterdal &amp; Christensen 2007</t>
  </si>
  <si>
    <t>De Wit et al. 2015</t>
  </si>
  <si>
    <t>boreal, alpine</t>
  </si>
  <si>
    <t>Post et al. 1982</t>
  </si>
  <si>
    <t>Falloon 1998</t>
  </si>
  <si>
    <t>production, fertilization, mowing</t>
  </si>
  <si>
    <t>(0-27 cm depth) minimum</t>
  </si>
  <si>
    <t>Hopkins et al. 2009</t>
  </si>
  <si>
    <t>(0-27 cm depth) maximum</t>
  </si>
  <si>
    <t>Europe</t>
  </si>
  <si>
    <t>0-30 cm depth range minimum</t>
  </si>
  <si>
    <t>Eaton et al. 2008)</t>
  </si>
  <si>
    <t>0-30 cm depth range maximum</t>
  </si>
  <si>
    <t>Norway</t>
  </si>
  <si>
    <t>lowland heathland on  podsols</t>
  </si>
  <si>
    <t>Milne and Brown 1997</t>
  </si>
  <si>
    <t>coastal heathland</t>
  </si>
  <si>
    <t>fresh water wetland, tree dominated</t>
  </si>
  <si>
    <t>Villa and Bernal 2018</t>
  </si>
  <si>
    <t>fresh water marsh</t>
  </si>
  <si>
    <t>intertidal marsh</t>
  </si>
  <si>
    <t>peatland</t>
  </si>
  <si>
    <t>non forested</t>
  </si>
  <si>
    <t>Cistus ladanifer</t>
  </si>
  <si>
    <t>Spain</t>
  </si>
  <si>
    <t>Carrión-Prieto et al. 2017</t>
  </si>
  <si>
    <t xml:space="preserve">P. Carrión-Prieto, S. Hernández-Navarro, P. Martín-Ramos, L.F. Sánchez-Sastre, F. Garrido-Laurnaga, J.L. Marcos-Robles &amp; J. Martín-Gil (2017) Mediterranean shrublands as carbon sinks for climate change mitigation: new root-to-shoot ratios, Carbon Management, 8:1, 67-77, DOI: 10.1080/17583004.2017.1285178 </t>
  </si>
  <si>
    <t xml:space="preserve">https://doi.org/10.1080/17583004.2017.1285178 </t>
  </si>
  <si>
    <t>Shru</t>
  </si>
  <si>
    <t>Erica arborea</t>
  </si>
  <si>
    <t>Alias Gallego et al. 2009</t>
  </si>
  <si>
    <t>Alías Gallego JC, García Rosa M, Valares Masa C, Sosa Díaz T, Chaves Lobón N. El matorral como sumidero de carbono. V Congreso Forestal Español, Ávila, Spain (2009).</t>
  </si>
  <si>
    <t>Garcia Rosa et al. 2013</t>
  </si>
  <si>
    <t xml:space="preserve">García Rosa M. Estudio de la biomasa de Cistus ladanifer L. y Retama sphaerocarpa L. como sumidero de CO2: existencias y potencialidad (PhD Thesis). Departamento de Biología Vegetal, Ecología y Ciencias de la Tierra, Universidad de Extremadura, Universidad de Extremadura, España (2013). (http://hdl.handle.net/10662/577). </t>
  </si>
  <si>
    <t>Navarro 2004</t>
  </si>
  <si>
    <t xml:space="preserve">Navarro RM. Fitomasa aérea en los ecosistemas de matorral en el monte Can Vilallonga (T.M. DE Cassà de la Selva-Girona). Ecología 18, 99–112 (2004). </t>
  </si>
  <si>
    <t>Shrub, Heathland</t>
  </si>
  <si>
    <t>Cal. vulgaris, Desch. flexuosa, Vacc. myrtillus, Emp. nigrum</t>
  </si>
  <si>
    <t>soil carbon + soil micobial biomass (0-20 cm)</t>
  </si>
  <si>
    <t xml:space="preserve">
Claus Beier, Bridget A. Emmett, Albert Tietema, Inger K. Schmidt, Josep Penuelas, Edit Kovacs Lang, Pierpaolo Duce, Paolo De Angelis, Antonie Gorissen, Marc Estiarte, Giovanbattista D. de Dato, Alwyn Sowerby, Gyorgy Kroel-Dulay, Eszter Lellei-Kovacs, Olevi Kull, Pille Mand, Henning Petersen, Peter Gjelstrup, Donatella Spano (2009) Carbon and nitrogen balances for six shrublands across Europe. GLOBAL BIOGEOCHEMICAL CYCLES, VOL. 23, GB4008, doi:10.1029/2008GB003381</t>
  </si>
  <si>
    <t>doi:10.1029/2008GB003381</t>
  </si>
  <si>
    <t>Call. vulgaris, Desch. flexuosa</t>
  </si>
  <si>
    <t>DK, Mols</t>
  </si>
  <si>
    <t>Beier et al. (2009)</t>
  </si>
  <si>
    <t>Call. vulgaris, Desch. flexuosa, Mollinia caerula</t>
  </si>
  <si>
    <t>Netherlands, Oldebroek</t>
  </si>
  <si>
    <t>Shrub, woody</t>
  </si>
  <si>
    <t>Pop. alba, Festuca vaginata, Cynodon dactylon, Stipa borysthenica</t>
  </si>
  <si>
    <t>HU, Kiskun Sag</t>
  </si>
  <si>
    <t>Heath-garrigues</t>
  </si>
  <si>
    <t>Erica multiflora, globularia alypum</t>
  </si>
  <si>
    <t>Spain, Garraf</t>
  </si>
  <si>
    <t>Helichrysum italicum, Cistus monspeliensis, Dorycnium pentaphyllum, Pistacia lentiscus</t>
  </si>
  <si>
    <t>Italy, Capo Caccia</t>
  </si>
  <si>
    <t xml:space="preserve"> -5.36 Mg C ha-1 yr-1 seq rate is exceptionally negative because of very high heterotrophic respiration (oxidation) of peatland (7.22 Mg C ha-1 yr-1)</t>
  </si>
  <si>
    <t>average</t>
  </si>
  <si>
    <t>median</t>
  </si>
  <si>
    <t>number (n)</t>
  </si>
  <si>
    <t>standard dev</t>
  </si>
  <si>
    <t>subecosystem</t>
  </si>
  <si>
    <t>species</t>
  </si>
  <si>
    <t>region/climate</t>
  </si>
  <si>
    <t>range</t>
  </si>
  <si>
    <t>Carbon pool (Mg C ha-1)</t>
  </si>
  <si>
    <t>Carbon sequestration rate (Mg C ha-1 yr-1)</t>
  </si>
  <si>
    <t>n</t>
  </si>
  <si>
    <t>all</t>
  </si>
  <si>
    <t>All</t>
  </si>
  <si>
    <t xml:space="preserve">https://doi.org/10.1002/jpln.19881510512 </t>
  </si>
  <si>
    <t xml:space="preserve">https://10.1007%2F978-1-4020-8433-1 </t>
  </si>
  <si>
    <t xml:space="preserve">
Lisa R. Belyea, Nils Malmer (2008) Carbon sequestration in peatland: patterns and mechanisms of response to climate change. Global Change Biology, Volume 10, Issue 7
</t>
  </si>
  <si>
    <t xml:space="preserve">Turunen, J., Tomppo, E., Tolonen, K., &amp; Reinikainen, A. (2002). Estimating carbon accumulation rates of undrained Mires in finland - application to boreal and subarctic regions. The Holocene, 12(1), 69-80. </t>
  </si>
  <si>
    <t xml:space="preserve">http://dx.doi.org/10.1191/0959683602hl522rp  </t>
  </si>
  <si>
    <t xml:space="preserve">Thomas Friborg, Henrik Soegaard, Torben R. Christensen, Colin R. Lloyd, Nicolai S. Panikov (2003) Siberian wetlands: Where a sink is a source. Geophysical Research Letters/
Volume 30, Issue 21
</t>
  </si>
  <si>
    <t xml:space="preserve">https://doi.org/10.1029/2003GL017797 </t>
  </si>
  <si>
    <t>https://doi.org/10.1016/j.agrformet.2009.11.013</t>
  </si>
  <si>
    <t xml:space="preserve">Alongi D.M. (2018) Salt Marshes. In: Blue Carbon. SpringerBriefs in Climate Studies. Springer, Cham.  </t>
  </si>
  <si>
    <t>https://doi.org/10.1007/978-3-319-91698-9_2</t>
  </si>
  <si>
    <t>https://doi.org/10.1016/j.agrformet.2016.08.023</t>
  </si>
  <si>
    <t>https://doi.org/10.1016/j.agrformet.2016.01.012</t>
  </si>
  <si>
    <t xml:space="preserve">https://doi.org/10.1080/02827589609382940 
  </t>
  </si>
  <si>
    <t>Ireland, Glencar</t>
  </si>
  <si>
    <t>Sweden, Fajemyr</t>
  </si>
  <si>
    <t>Canada, Mer Bleue</t>
  </si>
  <si>
    <t>Norway, Stordalen</t>
  </si>
  <si>
    <t>UK, Sandhill</t>
  </si>
  <si>
    <t>Germany, Friesinger Moos</t>
  </si>
  <si>
    <t>Finland, Lompolojankka</t>
  </si>
  <si>
    <t>Sweden, Degero Stormyr</t>
  </si>
  <si>
    <t>Italy, Monte Bondone, Alpine</t>
  </si>
  <si>
    <t>Global, northern zone</t>
  </si>
  <si>
    <t>SVN</t>
  </si>
  <si>
    <t xml:space="preserve">SVK </t>
  </si>
  <si>
    <t>SVK, central</t>
  </si>
  <si>
    <t>SVK, eastern</t>
  </si>
  <si>
    <t>SVK, western</t>
  </si>
  <si>
    <t>UKR, Crimea</t>
  </si>
  <si>
    <t>UKR, Polissja</t>
  </si>
  <si>
    <t>UKR, steppe</t>
  </si>
  <si>
    <t>UKR, wooded steppe</t>
  </si>
  <si>
    <t xml:space="preserve">HRV </t>
  </si>
  <si>
    <t>BGR</t>
  </si>
  <si>
    <t>DKN Mols, Jutland</t>
  </si>
  <si>
    <t>Sparsely vegetated</t>
  </si>
  <si>
    <t>Label nr</t>
  </si>
  <si>
    <t>total carbon equestration rate (Mg C ha-1 yr-1)</t>
  </si>
  <si>
    <t>Total carbon stock (Mg C ha-1)</t>
  </si>
  <si>
    <t>Agro</t>
  </si>
  <si>
    <t>number</t>
  </si>
  <si>
    <t>number of records</t>
  </si>
  <si>
    <t xml:space="preserve">This file is drafted in the context of the Framework service contract EEA/NSS/17/002/Lot 1 - services EEA10 -Task III: Provide a list of measures applicable for carbon storage in the context of biodiversity restoration </t>
  </si>
  <si>
    <t>This file contains the result of a quickscan of  literature regarding information on carbon pools and carbon sequestration rates in terrestrial and marine ecosystems. Based on this information, supplemented with expert knowledge, a list has been drawn up in which the EUNIS habitat types are classified based on their total carbon stock and carbon sequestration rate. This list is available as seperate excel worksheet for marine and terrestrial ecosystems and also included as annex in the report that documents the project.</t>
  </si>
  <si>
    <t xml:space="preserve">The project results are documented in the report: Hendriks, Kees, Susan Gubbay, Eric Arets and John Janssen, 2020. Carbon storage in European ecosystems; A quick scan for terrestrial and marine EUNIS habitat types. Wageningen, Wageningen Environmental Research, Internal Report. </t>
  </si>
  <si>
    <t>Explanation of colums</t>
  </si>
  <si>
    <t>A</t>
  </si>
  <si>
    <t>B</t>
  </si>
  <si>
    <t>C</t>
  </si>
  <si>
    <t>D</t>
  </si>
  <si>
    <t>Label</t>
  </si>
  <si>
    <t>unique number for the line with information with on carbon pools and carbon sequestration rates, and which is used as reference in the list with classified EUNIS habitats</t>
  </si>
  <si>
    <t>main grouping of ecosystems of the EUNIS habitat types</t>
  </si>
  <si>
    <t>sub-group of the main ecosystem (e.g. wet heathland, boreal forest)</t>
  </si>
  <si>
    <t>Species/management</t>
  </si>
  <si>
    <t>Species/Management</t>
  </si>
  <si>
    <t>When available information on species and management</t>
  </si>
  <si>
    <t>Information on country, region and climate zone</t>
  </si>
  <si>
    <t xml:space="preserve">When known information </t>
  </si>
  <si>
    <t>C pool in the above ground (living) biomass (vegetation) (Mg C ha-1)</t>
  </si>
  <si>
    <t>C pool in the below ground ground (living) biomass (roots and soil flora and fauna) (Mg C ha-1)</t>
  </si>
  <si>
    <t>C pool in the above ground dead biomass/wood (Mg C ha-1)</t>
  </si>
  <si>
    <t>C pool in the litter layer/forest floor (Mg C ha-1)</t>
  </si>
  <si>
    <t>C pool in soil organic matter in the soil (Mg C ha-1)</t>
  </si>
  <si>
    <t>Total of the reported C pools in the above ground and below ground biomass, dead wood, litter and soil (Mg C ha-1)</t>
  </si>
  <si>
    <t>additional information on the C pools</t>
  </si>
  <si>
    <t>Comment biomass pools</t>
  </si>
  <si>
    <t>C sequestration rate in the below ground ground (living) biomass (roots and soil flora and fauna) (Mg C ha-1 yr-1)</t>
  </si>
  <si>
    <t>C sequestration rate in the above ground dead biomass/wood (Mg C ha-1 yr-1)</t>
  </si>
  <si>
    <t>C sequestration rate in the litter layer/forest floor (Mg C ha-1 yr-1)</t>
  </si>
  <si>
    <t>C sequestration rate in soil organic matter in the soil (Mg C ha-1 yr-1)</t>
  </si>
  <si>
    <t>Total of the reported C sequestration rate in the above ground and below ground biomass, dead wood, litter and soil (Mg C ha-1 yr-1)</t>
  </si>
  <si>
    <t>C sequestration rate in the above ground ground (living) biomass (roots and soil flora and fauna) (Mg C ha-1 yr-1)</t>
  </si>
  <si>
    <t>Comment sequestration rate</t>
  </si>
  <si>
    <t xml:space="preserve">additional information on the C sequestration rate </t>
  </si>
  <si>
    <t xml:space="preserve">reference of the literature source </t>
  </si>
  <si>
    <t>reference reporting primair source</t>
  </si>
  <si>
    <t>link to publication DOI</t>
  </si>
  <si>
    <t>doi/website</t>
  </si>
  <si>
    <t xml:space="preserve">https://doi.org/10.1007/978-94-007-6455-2_3 </t>
  </si>
  <si>
    <t>https://doi.org/10.1007%2F978-1-4020-8433-1</t>
  </si>
  <si>
    <t xml:space="preserve">Lorenz K. (2013) Ecosystem Carbon Sequestration. In: Lal R., Lorenz K., Hüttl R., Schneider B., von Braun J. (eds) Ecosystem Services and Carbon Sequestration in the Biosphere. Springer, Dordrecht. </t>
  </si>
  <si>
    <t xml:space="preserve">Scholefield D., Jewkes E., Bol R. (2007) Nutrient Cycling Budgets in Managed Pastures. In: Marschner P., Rengel Z. (eds) Nutrient Cycling in Terrestrial Ecosystems. Soil Biology, vol 10. Springer, Berlin, Heidelberg. </t>
  </si>
  <si>
    <t>https://doi.org/10.1007%2F978-3-540-68027-7_8.pdf</t>
  </si>
  <si>
    <t>https://efi.int/publications-bank/manual-european-forest-information-scenario-model-efiscen-41</t>
  </si>
  <si>
    <t>https://doi.org/10.1007/978-94-007-6455-2_3</t>
  </si>
  <si>
    <t xml:space="preserve">Jandl R., Schüler S., Schindlbacher A., Tomiczek C. (2013) Forests, Carbon Pool, and Timber Production. In: Lal R., Lorenz K., Hüttl R., Schneider B., von Braun J. (eds) Ecosystem Services and Carbon Sequestration in the Biosphere. Springer, Dordrecht. </t>
  </si>
  <si>
    <t>https://doi-org/10.1007/978-94-007-6455-2_6</t>
  </si>
  <si>
    <t xml:space="preserve">https://doi-org/10.1007/978-94-007-6455-2_6 </t>
  </si>
  <si>
    <t>https://doi-org/10.1111/gcb.14475</t>
  </si>
  <si>
    <t xml:space="preserve">SOWERBY, ALWYN,  BRIDGET A. EMMETT, ALBERT TIETEMA, CLAUS BEIER (2008) Contrasting effects of repeated summer drought on soil carbon efflux in hydric and mesic Heathland soils. Global Change Biology/
Volume 14, Issue 10Global Change Biology </t>
  </si>
  <si>
    <t xml:space="preserve">https://doi-org/10.1111/j.1365-2486.2008.01643.x </t>
  </si>
  <si>
    <t xml:space="preserve">Nieder, R. and D.K. Benbi (2008) Carbon and Nitrogen in the Terrestrial Environment. Springer Dordrecht Netherlands. </t>
  </si>
  <si>
    <t>https://doi-org/10.1111/gcb.12904</t>
  </si>
  <si>
    <t xml:space="preserve">
Lisa R. Belyea, Nils Malmer (2008) Carbon sequestration in peatland: patterns and mechanisms of response to climate change. Global Change Biology, Volume 10, Issue 7
</t>
  </si>
  <si>
    <t xml:space="preserve">https://doi-org/10.1111/j.1529-8817.2003.00783.x </t>
  </si>
  <si>
    <t xml:space="preserve">ANN-KRISTIN KOEHLER, MATTEO SOTTOCORNOLA,  
GERARD KIELY (2010) How strong is the current carbon sequestration of an Atlantic blanket bog? Global Change Biology/
Volume 17, Issue 1Global Change Biology 
</t>
  </si>
  <si>
    <t>https://doi-org/10.1111/j.1365-2486.2010.02180.x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</si>
</sst>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9" x14ac:knownFonts="1">
    <font>
      <sz val="11"/>
      <color theme="1"/>
      <name val="Calibri"/>
      <family val="2"/>
      <scheme val="minor"/>
    </font>
    <font>
      <u/>
      <sz val="11"/>
      <color theme="10"/>
      <name val="Calibri"/>
      <family val="2"/>
      <scheme val="minor"/>
    </font>
    <font>
      <sz val="8"/>
      <name val="Calibri"/>
      <family val="2"/>
      <scheme val="minor"/>
    </font>
    <font>
      <sz val="9"/>
      <color indexed="81"/>
      <name val="Tahoma"/>
      <family val="2"/>
    </font>
    <font>
      <b/>
      <sz val="9"/>
      <color indexed="81"/>
      <name val="Tahoma"/>
      <family val="2"/>
    </font>
    <font>
      <sz val="11"/>
      <name val="Calibri"/>
      <family val="2"/>
      <scheme val="minor"/>
    </font>
    <font>
      <u/>
      <sz val="11"/>
      <name val="Calibri"/>
      <family val="2"/>
      <scheme val="minor"/>
    </font>
    <font>
      <i/>
      <sz val="11"/>
      <name val="Calibri"/>
      <family val="2"/>
      <scheme val="minor"/>
    </font>
    <font>
      <sz val="11"/>
      <name val="Arial"/>
      <family val="2"/>
    </font>
  </fonts>
  <fills count="4">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s>
  <borders count="2">
    <border>
      <left/>
      <right/>
      <top/>
      <bottom/>
      <diagonal/>
    </border>
    <border>
      <left/>
      <right/>
      <top style="thin">
        <color theme="4" tint="0.39997558519241921"/>
      </top>
      <bottom style="thin">
        <color theme="4" tint="0.39997558519241921"/>
      </bottom>
      <diagonal/>
    </border>
  </borders>
  <cellStyleXfs count="2">
    <xf numFmtId="0" fontId="0" fillId="0" borderId="0"/>
    <xf numFmtId="0" fontId="1" fillId="0" borderId="0" applyNumberFormat="0" applyFill="0" applyBorder="0" applyAlignment="0" applyProtection="0"/>
  </cellStyleXfs>
  <cellXfs count="32">
    <xf numFmtId="0" fontId="0" fillId="0" borderId="0" xfId="0"/>
    <xf numFmtId="2" fontId="0" fillId="0" borderId="0" xfId="0" applyNumberFormat="1"/>
    <xf numFmtId="0" fontId="5" fillId="0" borderId="0" xfId="0" applyFont="1"/>
    <xf numFmtId="0" fontId="5" fillId="0" borderId="0" xfId="0" applyFont="1" applyAlignment="1">
      <alignment wrapText="1"/>
    </xf>
    <xf numFmtId="2" fontId="5" fillId="0" borderId="0" xfId="0" applyNumberFormat="1" applyFont="1" applyAlignment="1">
      <alignment wrapText="1"/>
    </xf>
    <xf numFmtId="2" fontId="5" fillId="2" borderId="0" xfId="0" applyNumberFormat="1" applyFont="1" applyFill="1" applyAlignment="1">
      <alignment wrapText="1"/>
    </xf>
    <xf numFmtId="2" fontId="5" fillId="3" borderId="0" xfId="0" applyNumberFormat="1" applyFont="1" applyFill="1" applyAlignment="1">
      <alignment wrapText="1"/>
    </xf>
    <xf numFmtId="0" fontId="5" fillId="2" borderId="0" xfId="0" applyFont="1" applyFill="1" applyAlignment="1">
      <alignment wrapText="1"/>
    </xf>
    <xf numFmtId="0" fontId="6" fillId="0" borderId="0" xfId="1" applyFont="1" applyAlignment="1">
      <alignment wrapText="1"/>
    </xf>
    <xf numFmtId="0" fontId="6" fillId="0" borderId="0" xfId="1" applyFont="1"/>
    <xf numFmtId="0" fontId="5" fillId="0" borderId="0" xfId="0" applyFont="1" applyFill="1"/>
    <xf numFmtId="2" fontId="5" fillId="0" borderId="0" xfId="0" applyNumberFormat="1" applyFont="1" applyAlignment="1">
      <alignment horizontal="right" wrapText="1"/>
    </xf>
    <xf numFmtId="2" fontId="5" fillId="0" borderId="0" xfId="0" applyNumberFormat="1" applyFont="1" applyFill="1" applyAlignment="1">
      <alignment horizontal="right" wrapText="1"/>
    </xf>
    <xf numFmtId="3" fontId="5" fillId="0" borderId="0" xfId="0" applyNumberFormat="1" applyFont="1" applyAlignment="1">
      <alignment wrapText="1"/>
    </xf>
    <xf numFmtId="0" fontId="7" fillId="0" borderId="0" xfId="0" applyFont="1" applyAlignment="1">
      <alignment wrapText="1"/>
    </xf>
    <xf numFmtId="165" fontId="5" fillId="0" borderId="0" xfId="0" applyNumberFormat="1" applyFont="1" applyAlignment="1">
      <alignment wrapText="1"/>
    </xf>
    <xf numFmtId="164" fontId="5" fillId="0" borderId="0" xfId="0" applyNumberFormat="1" applyFont="1" applyAlignment="1">
      <alignment wrapText="1"/>
    </xf>
    <xf numFmtId="16" fontId="5" fillId="0" borderId="0" xfId="0" applyNumberFormat="1" applyFont="1" applyAlignment="1">
      <alignment horizontal="right" wrapText="1"/>
    </xf>
    <xf numFmtId="0" fontId="5" fillId="0" borderId="0" xfId="0" applyFont="1" applyAlignment="1">
      <alignment horizontal="right" wrapText="1"/>
    </xf>
    <xf numFmtId="0" fontId="5" fillId="0" borderId="0" xfId="0" applyFont="1" applyFill="1" applyAlignment="1">
      <alignment wrapText="1"/>
    </xf>
    <xf numFmtId="0" fontId="6" fillId="0" borderId="0" xfId="1" applyFont="1" applyAlignment="1">
      <alignment horizontal="left" vertical="center" wrapText="1"/>
    </xf>
    <xf numFmtId="0" fontId="8" fillId="0" borderId="0" xfId="0" applyFont="1"/>
    <xf numFmtId="2" fontId="5" fillId="0" borderId="0" xfId="0" applyNumberFormat="1" applyFont="1" applyFill="1" applyAlignment="1">
      <alignment wrapText="1"/>
    </xf>
    <xf numFmtId="1" fontId="0" fillId="0" borderId="0" xfId="0" applyNumberFormat="1"/>
    <xf numFmtId="164" fontId="0" fillId="0" borderId="0" xfId="0" applyNumberFormat="1"/>
    <xf numFmtId="0" fontId="0" fillId="0" borderId="0" xfId="0" applyAlignment="1">
      <alignment wrapText="1"/>
    </xf>
    <xf numFmtId="0" fontId="0" fillId="0" borderId="0" xfId="0" applyFont="1" applyFill="1"/>
    <xf numFmtId="0" fontId="5" fillId="0" borderId="1" xfId="0" applyFont="1" applyFill="1" applyBorder="1" applyAlignment="1">
      <alignment wrapText="1"/>
    </xf>
    <xf numFmtId="2" fontId="5" fillId="0" borderId="1" xfId="0" applyNumberFormat="1" applyFont="1" applyFill="1" applyBorder="1" applyAlignment="1">
      <alignment wrapText="1"/>
    </xf>
    <xf numFmtId="0" fontId="1" fillId="0" borderId="0" xfId="1" applyAlignment="1">
      <alignment wrapText="1"/>
    </xf>
    <xf numFmtId="0" fontId="1" fillId="0" borderId="0" xfId="1" applyAlignment="1">
      <alignment horizontal="left" vertical="center" wrapText="1"/>
    </xf>
    <xf numFmtId="0" fontId="1" fillId="0" borderId="0" xfId="1"/>
  </cellXfs>
  <cellStyles count="2">
    <cellStyle name="Hyperlink" xfId="1" builtinId="8"/>
    <cellStyle name="Normal" xfId="0" builtinId="0"/>
  </cellStyles>
  <dxfs count="28">
    <dxf>
      <font>
        <strike val="0"/>
        <outline val="0"/>
        <shadow val="0"/>
        <vertAlign val="baseline"/>
        <sz val="11"/>
        <color auto="1"/>
      </font>
      <alignment horizontal="general" vertical="bottom" textRotation="0" wrapText="1" indent="0" justifyLastLine="0" shrinkToFit="0" readingOrder="0"/>
    </dxf>
    <dxf>
      <font>
        <strike val="0"/>
        <outline val="0"/>
        <shadow val="0"/>
        <vertAlign val="baseline"/>
        <sz val="11"/>
        <color auto="1"/>
      </font>
      <alignment horizontal="general" vertical="bottom" textRotation="0" wrapText="1" indent="0" justifyLastLine="0" shrinkToFit="0" readingOrder="0"/>
    </dxf>
    <dxf>
      <font>
        <strike val="0"/>
        <outline val="0"/>
        <shadow val="0"/>
        <vertAlign val="baseline"/>
        <sz val="11"/>
        <color auto="1"/>
      </font>
      <alignment horizontal="general" vertical="bottom" textRotation="0" wrapText="1" indent="0" justifyLastLine="0" shrinkToFit="0" readingOrder="0"/>
    </dxf>
    <dxf>
      <font>
        <strike val="0"/>
        <outline val="0"/>
        <shadow val="0"/>
        <vertAlign val="baseline"/>
        <sz val="11"/>
        <color auto="1"/>
      </font>
      <alignment horizontal="general" vertical="bottom" textRotation="0" wrapText="1" indent="0" justifyLastLine="0" shrinkToFit="0" readingOrder="0"/>
    </dxf>
    <dxf>
      <font>
        <strike val="0"/>
        <outline val="0"/>
        <shadow val="0"/>
        <vertAlign val="baseline"/>
        <sz val="11"/>
        <color auto="1"/>
      </font>
      <alignment horizontal="general" vertical="bottom" textRotation="0" wrapText="1" indent="0" justifyLastLine="0" shrinkToFit="0" readingOrder="0"/>
    </dxf>
    <dxf>
      <font>
        <strike val="0"/>
        <outline val="0"/>
        <shadow val="0"/>
        <vertAlign val="baseline"/>
        <sz val="11"/>
        <color auto="1"/>
      </font>
      <numFmt numFmtId="2" formatCode="0.00"/>
      <fill>
        <patternFill patternType="solid">
          <fgColor indexed="64"/>
          <bgColor theme="5" tint="0.79998168889431442"/>
        </patternFill>
      </fill>
      <alignment horizontal="general" vertical="bottom" textRotation="0" wrapText="1" indent="0" justifyLastLine="0" shrinkToFit="0" readingOrder="0"/>
    </dxf>
    <dxf>
      <font>
        <strike val="0"/>
        <outline val="0"/>
        <shadow val="0"/>
        <vertAlign val="baseline"/>
        <sz val="11"/>
        <color auto="1"/>
      </font>
      <alignment horizontal="general" vertical="bottom" textRotation="0" wrapText="1" indent="0" justifyLastLine="0" shrinkToFit="0" readingOrder="0"/>
    </dxf>
    <dxf>
      <font>
        <strike val="0"/>
        <outline val="0"/>
        <shadow val="0"/>
        <vertAlign val="baseline"/>
        <sz val="11"/>
        <color auto="1"/>
      </font>
      <alignment horizontal="general" vertical="bottom" textRotation="0" wrapText="1" indent="0" justifyLastLine="0" shrinkToFit="0" readingOrder="0"/>
    </dxf>
    <dxf>
      <font>
        <strike val="0"/>
        <outline val="0"/>
        <shadow val="0"/>
        <vertAlign val="baseline"/>
        <sz val="11"/>
        <color auto="1"/>
      </font>
      <alignment horizontal="general" vertical="bottom" textRotation="0" wrapText="1" indent="0" justifyLastLine="0" shrinkToFit="0" readingOrder="0"/>
    </dxf>
    <dxf>
      <font>
        <strike val="0"/>
        <outline val="0"/>
        <shadow val="0"/>
        <vertAlign val="baseline"/>
        <sz val="11"/>
        <color auto="1"/>
      </font>
      <alignment horizontal="general" vertical="bottom" textRotation="0" wrapText="1" indent="0" justifyLastLine="0" shrinkToFit="0" readingOrder="0"/>
    </dxf>
    <dxf>
      <font>
        <strike val="0"/>
        <outline val="0"/>
        <shadow val="0"/>
        <vertAlign val="baseline"/>
        <sz val="11"/>
        <color auto="1"/>
      </font>
      <alignment horizontal="general" vertical="bottom" textRotation="0" wrapText="1" indent="0" justifyLastLine="0" shrinkToFit="0" readingOrder="0"/>
    </dxf>
    <dxf>
      <font>
        <strike val="0"/>
        <outline val="0"/>
        <shadow val="0"/>
        <vertAlign val="baseline"/>
        <sz val="11"/>
        <color auto="1"/>
      </font>
      <numFmt numFmtId="2" formatCode="0.00"/>
      <alignment horizontal="general" vertical="bottom" textRotation="0" wrapText="1" indent="0" justifyLastLine="0" shrinkToFit="0" readingOrder="0"/>
    </dxf>
    <dxf>
      <font>
        <strike val="0"/>
        <outline val="0"/>
        <shadow val="0"/>
        <vertAlign val="baseline"/>
        <sz val="11"/>
        <color auto="1"/>
      </font>
      <numFmt numFmtId="2" formatCode="0.00"/>
      <fill>
        <patternFill patternType="solid">
          <fgColor indexed="64"/>
          <bgColor theme="9" tint="0.79998168889431442"/>
        </patternFill>
      </fill>
      <alignment horizontal="general" vertical="bottom" textRotation="0" wrapText="1" indent="0" justifyLastLine="0" shrinkToFit="0" readingOrder="0"/>
    </dxf>
    <dxf>
      <font>
        <strike val="0"/>
        <outline val="0"/>
        <shadow val="0"/>
        <vertAlign val="baseline"/>
        <sz val="11"/>
        <color auto="1"/>
      </font>
      <numFmt numFmtId="2" formatCode="0.00"/>
      <alignment horizontal="general" vertical="bottom" textRotation="0" wrapText="1" indent="0" justifyLastLine="0" shrinkToFit="0" readingOrder="0"/>
    </dxf>
    <dxf>
      <font>
        <strike val="0"/>
        <outline val="0"/>
        <shadow val="0"/>
        <vertAlign val="baseline"/>
        <sz val="11"/>
        <color auto="1"/>
      </font>
      <alignment horizontal="general" vertical="bottom" textRotation="0" wrapText="1" indent="0" justifyLastLine="0" shrinkToFit="0" readingOrder="0"/>
    </dxf>
    <dxf>
      <font>
        <strike val="0"/>
        <outline val="0"/>
        <shadow val="0"/>
        <vertAlign val="baseline"/>
        <sz val="11"/>
        <color auto="1"/>
      </font>
      <alignment horizontal="general" vertical="bottom" textRotation="0" wrapText="1" indent="0" justifyLastLine="0" shrinkToFit="0" readingOrder="0"/>
    </dxf>
    <dxf>
      <font>
        <strike val="0"/>
        <outline val="0"/>
        <shadow val="0"/>
        <vertAlign val="baseline"/>
        <sz val="11"/>
        <color auto="1"/>
      </font>
      <alignment horizontal="general" vertical="bottom" textRotation="0" wrapText="1" indent="0" justifyLastLine="0" shrinkToFit="0" readingOrder="0"/>
    </dxf>
    <dxf>
      <font>
        <strike val="0"/>
        <outline val="0"/>
        <shadow val="0"/>
        <vertAlign val="baseline"/>
        <sz val="11"/>
        <color auto="1"/>
      </font>
      <numFmt numFmtId="2" formatCode="0.00"/>
      <alignment horizontal="general" vertical="bottom" textRotation="0" wrapText="1" indent="0" justifyLastLine="0" shrinkToFit="0" readingOrder="0"/>
    </dxf>
    <dxf>
      <font>
        <strike val="0"/>
        <outline val="0"/>
        <shadow val="0"/>
        <vertAlign val="baseline"/>
        <sz val="11"/>
        <color auto="1"/>
      </font>
      <alignment horizontal="general" vertical="bottom" textRotation="0" wrapText="1" indent="0" justifyLastLine="0" shrinkToFit="0" readingOrder="0"/>
    </dxf>
    <dxf>
      <font>
        <strike val="0"/>
        <outline val="0"/>
        <shadow val="0"/>
        <vertAlign val="baseline"/>
        <sz val="11"/>
        <color auto="1"/>
      </font>
      <alignment horizontal="general" vertical="bottom" textRotation="0" wrapText="1" indent="0" justifyLastLine="0" shrinkToFit="0" readingOrder="0"/>
    </dxf>
    <dxf>
      <font>
        <strike val="0"/>
        <outline val="0"/>
        <shadow val="0"/>
        <vertAlign val="baseline"/>
        <sz val="11"/>
        <color auto="1"/>
      </font>
      <alignment horizontal="general" vertical="bottom" textRotation="0" wrapText="1" indent="0" justifyLastLine="0" shrinkToFit="0" readingOrder="0"/>
    </dxf>
    <dxf>
      <font>
        <strike val="0"/>
        <outline val="0"/>
        <shadow val="0"/>
        <vertAlign val="baseline"/>
        <sz val="11"/>
        <color auto="1"/>
      </font>
      <alignment horizontal="general" vertical="bottom" textRotation="0" wrapText="1" indent="0" justifyLastLine="0" shrinkToFit="0" readingOrder="0"/>
    </dxf>
    <dxf>
      <font>
        <strike val="0"/>
        <outline val="0"/>
        <shadow val="0"/>
        <vertAlign val="baseline"/>
        <sz val="11"/>
        <color auto="1"/>
      </font>
      <alignment horizontal="general" vertical="bottom" textRotation="0" wrapText="1" indent="0" justifyLastLine="0" shrinkToFit="0" readingOrder="0"/>
    </dxf>
    <dxf>
      <font>
        <strike val="0"/>
        <outline val="0"/>
        <shadow val="0"/>
        <vertAlign val="baseline"/>
        <sz val="11"/>
        <color auto="1"/>
      </font>
      <alignment horizontal="general" vertical="bottom" textRotation="0" wrapText="1" indent="0" justifyLastLine="0" shrinkToFit="0" readingOrder="0"/>
    </dxf>
    <dxf>
      <font>
        <strike val="0"/>
        <outline val="0"/>
        <shadow val="0"/>
        <vertAlign val="baseline"/>
        <sz val="11"/>
        <color auto="1"/>
      </font>
      <alignment horizontal="general" vertical="bottom" textRotation="0" wrapText="1" indent="0" justifyLastLine="0" shrinkToFit="0" readingOrder="0"/>
    </dxf>
    <dxf>
      <font>
        <strike val="0"/>
        <outline val="0"/>
        <shadow val="0"/>
        <vertAlign val="baseline"/>
        <sz val="11"/>
        <color auto="1"/>
      </font>
      <fill>
        <patternFill patternType="none">
          <fgColor indexed="64"/>
          <bgColor auto="1"/>
        </patternFill>
      </fill>
      <alignment horizontal="general" vertical="bottom" textRotation="0" wrapText="1" indent="0" justifyLastLine="0" shrinkToFit="0" readingOrder="0"/>
    </dxf>
    <dxf>
      <font>
        <strike val="0"/>
        <outline val="0"/>
        <shadow val="0"/>
        <vertAlign val="baseline"/>
        <sz val="11"/>
        <color auto="1"/>
      </font>
      <alignment horizontal="general" vertical="bottom" textRotation="0" wrapText="1" indent="0" justifyLastLine="0" shrinkToFit="0" readingOrder="0"/>
    </dxf>
    <dxf>
      <font>
        <strike val="0"/>
        <outline val="0"/>
        <shadow val="0"/>
        <vertAlign val="baseline"/>
        <sz val="11"/>
        <color auto="1"/>
      </font>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2.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Ex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Ex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Ex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Ex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a:t>Characteristics of C pools</a:t>
            </a:r>
            <a:r>
              <a:rPr lang="nl-NL" baseline="0"/>
              <a:t> of terrestial ecosystems</a:t>
            </a:r>
            <a:endParaRPr lang="nl-NL"/>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barChart>
        <c:barDir val="col"/>
        <c:grouping val="clustered"/>
        <c:varyColors val="0"/>
        <c:ser>
          <c:idx val="0"/>
          <c:order val="0"/>
          <c:tx>
            <c:strRef>
              <c:f>ranges!$E$2</c:f>
              <c:strCache>
                <c:ptCount val="1"/>
                <c:pt idx="0">
                  <c:v>n</c:v>
                </c:pt>
              </c:strCache>
            </c:strRef>
          </c:tx>
          <c:spPr>
            <a:solidFill>
              <a:schemeClr val="accent1"/>
            </a:solidFill>
            <a:ln>
              <a:noFill/>
            </a:ln>
            <a:effectLst/>
          </c:spPr>
          <c:invertIfNegative val="0"/>
          <c:cat>
            <c:strRef>
              <c:f>ranges!$A$3:$D$12</c:f>
              <c:strCache>
                <c:ptCount val="10"/>
                <c:pt idx="0">
                  <c:v>Agro</c:v>
                </c:pt>
                <c:pt idx="1">
                  <c:v>Coastal</c:v>
                </c:pt>
                <c:pt idx="2">
                  <c:v>Forest</c:v>
                </c:pt>
                <c:pt idx="3">
                  <c:v>Grassland</c:v>
                </c:pt>
                <c:pt idx="4">
                  <c:v>Heathland</c:v>
                </c:pt>
                <c:pt idx="5">
                  <c:v>Shrub</c:v>
                </c:pt>
                <c:pt idx="6">
                  <c:v>Sparsely vegetated</c:v>
                </c:pt>
                <c:pt idx="7">
                  <c:v>Tundra</c:v>
                </c:pt>
                <c:pt idx="8">
                  <c:v>Wetland</c:v>
                </c:pt>
                <c:pt idx="9">
                  <c:v>All</c:v>
                </c:pt>
              </c:strCache>
            </c:strRef>
          </c:cat>
          <c:val>
            <c:numRef>
              <c:f>ranges!$E$3:$E$12</c:f>
            </c:numRef>
          </c:val>
          <c:extLst>
            <c:ext xmlns:c16="http://schemas.microsoft.com/office/drawing/2014/chart" uri="{C3380CC4-5D6E-409C-BE32-E72D297353CC}">
              <c16:uniqueId val="{00000000-2C73-494F-94FA-B5D768D48C3A}"/>
            </c:ext>
          </c:extLst>
        </c:ser>
        <c:ser>
          <c:idx val="1"/>
          <c:order val="1"/>
          <c:tx>
            <c:strRef>
              <c:f>ranges!$G$2</c:f>
              <c:strCache>
                <c:ptCount val="1"/>
                <c:pt idx="0">
                  <c:v>minimum</c:v>
                </c:pt>
              </c:strCache>
            </c:strRef>
          </c:tx>
          <c:spPr>
            <a:solidFill>
              <a:schemeClr val="accent2"/>
            </a:solidFill>
            <a:ln>
              <a:noFill/>
            </a:ln>
            <a:effectLst/>
          </c:spPr>
          <c:invertIfNegative val="0"/>
          <c:cat>
            <c:strRef>
              <c:f>ranges!$A$3:$D$12</c:f>
              <c:strCache>
                <c:ptCount val="10"/>
                <c:pt idx="0">
                  <c:v>Agro</c:v>
                </c:pt>
                <c:pt idx="1">
                  <c:v>Coastal</c:v>
                </c:pt>
                <c:pt idx="2">
                  <c:v>Forest</c:v>
                </c:pt>
                <c:pt idx="3">
                  <c:v>Grassland</c:v>
                </c:pt>
                <c:pt idx="4">
                  <c:v>Heathland</c:v>
                </c:pt>
                <c:pt idx="5">
                  <c:v>Shrub</c:v>
                </c:pt>
                <c:pt idx="6">
                  <c:v>Sparsely vegetated</c:v>
                </c:pt>
                <c:pt idx="7">
                  <c:v>Tundra</c:v>
                </c:pt>
                <c:pt idx="8">
                  <c:v>Wetland</c:v>
                </c:pt>
                <c:pt idx="9">
                  <c:v>All</c:v>
                </c:pt>
              </c:strCache>
            </c:strRef>
          </c:cat>
          <c:val>
            <c:numRef>
              <c:f>ranges!$G$3:$G$12</c:f>
              <c:numCache>
                <c:formatCode>0.0</c:formatCode>
                <c:ptCount val="10"/>
                <c:pt idx="0">
                  <c:v>7</c:v>
                </c:pt>
                <c:pt idx="1">
                  <c:v>48</c:v>
                </c:pt>
                <c:pt idx="2">
                  <c:v>5</c:v>
                </c:pt>
                <c:pt idx="3">
                  <c:v>0.5</c:v>
                </c:pt>
                <c:pt idx="4">
                  <c:v>2</c:v>
                </c:pt>
                <c:pt idx="5">
                  <c:v>6.91</c:v>
                </c:pt>
                <c:pt idx="6">
                  <c:v>20.55</c:v>
                </c:pt>
                <c:pt idx="7">
                  <c:v>1.45</c:v>
                </c:pt>
                <c:pt idx="8">
                  <c:v>0.9</c:v>
                </c:pt>
                <c:pt idx="9">
                  <c:v>0.5</c:v>
                </c:pt>
              </c:numCache>
            </c:numRef>
          </c:val>
          <c:extLst>
            <c:ext xmlns:c16="http://schemas.microsoft.com/office/drawing/2014/chart" uri="{C3380CC4-5D6E-409C-BE32-E72D297353CC}">
              <c16:uniqueId val="{00000001-2C73-494F-94FA-B5D768D48C3A}"/>
            </c:ext>
          </c:extLst>
        </c:ser>
        <c:ser>
          <c:idx val="2"/>
          <c:order val="2"/>
          <c:tx>
            <c:strRef>
              <c:f>ranges!$H$2</c:f>
              <c:strCache>
                <c:ptCount val="1"/>
                <c:pt idx="0">
                  <c:v>maximum</c:v>
                </c:pt>
              </c:strCache>
            </c:strRef>
          </c:tx>
          <c:spPr>
            <a:solidFill>
              <a:schemeClr val="accent3"/>
            </a:solidFill>
            <a:ln>
              <a:noFill/>
            </a:ln>
            <a:effectLst/>
          </c:spPr>
          <c:invertIfNegative val="0"/>
          <c:cat>
            <c:strRef>
              <c:f>ranges!$A$3:$D$12</c:f>
              <c:strCache>
                <c:ptCount val="10"/>
                <c:pt idx="0">
                  <c:v>Agro</c:v>
                </c:pt>
                <c:pt idx="1">
                  <c:v>Coastal</c:v>
                </c:pt>
                <c:pt idx="2">
                  <c:v>Forest</c:v>
                </c:pt>
                <c:pt idx="3">
                  <c:v>Grassland</c:v>
                </c:pt>
                <c:pt idx="4">
                  <c:v>Heathland</c:v>
                </c:pt>
                <c:pt idx="5">
                  <c:v>Shrub</c:v>
                </c:pt>
                <c:pt idx="6">
                  <c:v>Sparsely vegetated</c:v>
                </c:pt>
                <c:pt idx="7">
                  <c:v>Tundra</c:v>
                </c:pt>
                <c:pt idx="8">
                  <c:v>Wetland</c:v>
                </c:pt>
                <c:pt idx="9">
                  <c:v>All</c:v>
                </c:pt>
              </c:strCache>
            </c:strRef>
          </c:cat>
          <c:val>
            <c:numRef>
              <c:f>ranges!$H$3:$H$12</c:f>
              <c:numCache>
                <c:formatCode>0.0</c:formatCode>
                <c:ptCount val="10"/>
                <c:pt idx="0">
                  <c:v>266.66666666666669</c:v>
                </c:pt>
                <c:pt idx="1">
                  <c:v>48</c:v>
                </c:pt>
                <c:pt idx="2">
                  <c:v>500</c:v>
                </c:pt>
                <c:pt idx="3">
                  <c:v>438</c:v>
                </c:pt>
                <c:pt idx="4">
                  <c:v>548.56000000000006</c:v>
                </c:pt>
                <c:pt idx="5">
                  <c:v>190.14</c:v>
                </c:pt>
                <c:pt idx="6">
                  <c:v>164.5</c:v>
                </c:pt>
                <c:pt idx="7">
                  <c:v>711</c:v>
                </c:pt>
                <c:pt idx="8">
                  <c:v>827.125</c:v>
                </c:pt>
                <c:pt idx="9">
                  <c:v>827.125</c:v>
                </c:pt>
              </c:numCache>
            </c:numRef>
          </c:val>
          <c:extLst>
            <c:ext xmlns:c16="http://schemas.microsoft.com/office/drawing/2014/chart" uri="{C3380CC4-5D6E-409C-BE32-E72D297353CC}">
              <c16:uniqueId val="{00000002-2C73-494F-94FA-B5D768D48C3A}"/>
            </c:ext>
          </c:extLst>
        </c:ser>
        <c:ser>
          <c:idx val="3"/>
          <c:order val="3"/>
          <c:tx>
            <c:strRef>
              <c:f>ranges!$I$2</c:f>
              <c:strCache>
                <c:ptCount val="1"/>
                <c:pt idx="0">
                  <c:v>average</c:v>
                </c:pt>
              </c:strCache>
            </c:strRef>
          </c:tx>
          <c:spPr>
            <a:solidFill>
              <a:schemeClr val="accent4"/>
            </a:solidFill>
            <a:ln>
              <a:noFill/>
            </a:ln>
            <a:effectLst/>
          </c:spPr>
          <c:invertIfNegative val="0"/>
          <c:cat>
            <c:strRef>
              <c:f>ranges!$A$3:$D$12</c:f>
              <c:strCache>
                <c:ptCount val="10"/>
                <c:pt idx="0">
                  <c:v>Agro</c:v>
                </c:pt>
                <c:pt idx="1">
                  <c:v>Coastal</c:v>
                </c:pt>
                <c:pt idx="2">
                  <c:v>Forest</c:v>
                </c:pt>
                <c:pt idx="3">
                  <c:v>Grassland</c:v>
                </c:pt>
                <c:pt idx="4">
                  <c:v>Heathland</c:v>
                </c:pt>
                <c:pt idx="5">
                  <c:v>Shrub</c:v>
                </c:pt>
                <c:pt idx="6">
                  <c:v>Sparsely vegetated</c:v>
                </c:pt>
                <c:pt idx="7">
                  <c:v>Tundra</c:v>
                </c:pt>
                <c:pt idx="8">
                  <c:v>Wetland</c:v>
                </c:pt>
                <c:pt idx="9">
                  <c:v>All</c:v>
                </c:pt>
              </c:strCache>
            </c:strRef>
          </c:cat>
          <c:val>
            <c:numRef>
              <c:f>ranges!$I$3:$I$12</c:f>
              <c:numCache>
                <c:formatCode>0.0</c:formatCode>
                <c:ptCount val="10"/>
                <c:pt idx="0">
                  <c:v>107.72245039682541</c:v>
                </c:pt>
                <c:pt idx="1">
                  <c:v>48</c:v>
                </c:pt>
                <c:pt idx="2">
                  <c:v>132.9588614980826</c:v>
                </c:pt>
                <c:pt idx="3">
                  <c:v>61.296969696969697</c:v>
                </c:pt>
                <c:pt idx="4">
                  <c:v>110.27521739130434</c:v>
                </c:pt>
                <c:pt idx="5">
                  <c:v>33.457499999999996</c:v>
                </c:pt>
                <c:pt idx="6">
                  <c:v>69.683333333333337</c:v>
                </c:pt>
                <c:pt idx="7">
                  <c:v>101.15066666666667</c:v>
                </c:pt>
                <c:pt idx="8">
                  <c:v>261.78443372222222</c:v>
                </c:pt>
                <c:pt idx="9">
                  <c:v>145.70185892085661</c:v>
                </c:pt>
              </c:numCache>
            </c:numRef>
          </c:val>
          <c:extLst>
            <c:ext xmlns:c16="http://schemas.microsoft.com/office/drawing/2014/chart" uri="{C3380CC4-5D6E-409C-BE32-E72D297353CC}">
              <c16:uniqueId val="{00000003-2C73-494F-94FA-B5D768D48C3A}"/>
            </c:ext>
          </c:extLst>
        </c:ser>
        <c:ser>
          <c:idx val="4"/>
          <c:order val="4"/>
          <c:tx>
            <c:strRef>
              <c:f>ranges!$J$2</c:f>
              <c:strCache>
                <c:ptCount val="1"/>
                <c:pt idx="0">
                  <c:v>median</c:v>
                </c:pt>
              </c:strCache>
            </c:strRef>
          </c:tx>
          <c:spPr>
            <a:solidFill>
              <a:schemeClr val="accent5"/>
            </a:solidFill>
            <a:ln>
              <a:noFill/>
            </a:ln>
            <a:effectLst/>
          </c:spPr>
          <c:invertIfNegative val="0"/>
          <c:cat>
            <c:strRef>
              <c:f>ranges!$A$3:$D$12</c:f>
              <c:strCache>
                <c:ptCount val="10"/>
                <c:pt idx="0">
                  <c:v>Agro</c:v>
                </c:pt>
                <c:pt idx="1">
                  <c:v>Coastal</c:v>
                </c:pt>
                <c:pt idx="2">
                  <c:v>Forest</c:v>
                </c:pt>
                <c:pt idx="3">
                  <c:v>Grassland</c:v>
                </c:pt>
                <c:pt idx="4">
                  <c:v>Heathland</c:v>
                </c:pt>
                <c:pt idx="5">
                  <c:v>Shrub</c:v>
                </c:pt>
                <c:pt idx="6">
                  <c:v>Sparsely vegetated</c:v>
                </c:pt>
                <c:pt idx="7">
                  <c:v>Tundra</c:v>
                </c:pt>
                <c:pt idx="8">
                  <c:v>Wetland</c:v>
                </c:pt>
                <c:pt idx="9">
                  <c:v>All</c:v>
                </c:pt>
              </c:strCache>
            </c:strRef>
          </c:cat>
          <c:val>
            <c:numRef>
              <c:f>ranges!$J$3:$J$12</c:f>
              <c:numCache>
                <c:formatCode>0.0</c:formatCode>
                <c:ptCount val="10"/>
                <c:pt idx="0">
                  <c:v>99</c:v>
                </c:pt>
                <c:pt idx="1">
                  <c:v>48</c:v>
                </c:pt>
                <c:pt idx="2">
                  <c:v>115.44999999999999</c:v>
                </c:pt>
                <c:pt idx="3">
                  <c:v>5</c:v>
                </c:pt>
                <c:pt idx="4">
                  <c:v>88</c:v>
                </c:pt>
                <c:pt idx="5">
                  <c:v>11.95</c:v>
                </c:pt>
                <c:pt idx="6">
                  <c:v>24</c:v>
                </c:pt>
                <c:pt idx="7">
                  <c:v>23.164999999999999</c:v>
                </c:pt>
                <c:pt idx="8">
                  <c:v>247.1875</c:v>
                </c:pt>
                <c:pt idx="9">
                  <c:v>96</c:v>
                </c:pt>
              </c:numCache>
            </c:numRef>
          </c:val>
          <c:extLst>
            <c:ext xmlns:c16="http://schemas.microsoft.com/office/drawing/2014/chart" uri="{C3380CC4-5D6E-409C-BE32-E72D297353CC}">
              <c16:uniqueId val="{00000004-2C73-494F-94FA-B5D768D48C3A}"/>
            </c:ext>
          </c:extLst>
        </c:ser>
        <c:dLbls>
          <c:showLegendKey val="0"/>
          <c:showVal val="0"/>
          <c:showCatName val="0"/>
          <c:showSerName val="0"/>
          <c:showPercent val="0"/>
          <c:showBubbleSize val="0"/>
        </c:dLbls>
        <c:gapWidth val="219"/>
        <c:overlap val="-27"/>
        <c:axId val="472099744"/>
        <c:axId val="472100072"/>
      </c:barChart>
      <c:catAx>
        <c:axId val="4720997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472100072"/>
        <c:crosses val="autoZero"/>
        <c:auto val="1"/>
        <c:lblAlgn val="ctr"/>
        <c:lblOffset val="100"/>
        <c:noMultiLvlLbl val="0"/>
      </c:catAx>
      <c:valAx>
        <c:axId val="4721000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NL"/>
                  <a:t>Mg</a:t>
                </a:r>
                <a:r>
                  <a:rPr lang="nl-NL" baseline="0"/>
                  <a:t> C ha-1</a:t>
                </a:r>
                <a:endParaRPr lang="nl-NL"/>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NL"/>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4720997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a:t>Characteristics of C</a:t>
            </a:r>
            <a:r>
              <a:rPr lang="nl-NL" baseline="0"/>
              <a:t> sequestration rates of terrestrial ecosystems</a:t>
            </a:r>
            <a:endParaRPr lang="nl-NL"/>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barChart>
        <c:barDir val="col"/>
        <c:grouping val="clustered"/>
        <c:varyColors val="0"/>
        <c:ser>
          <c:idx val="0"/>
          <c:order val="0"/>
          <c:tx>
            <c:strRef>
              <c:f>ranges!$O$2</c:f>
              <c:strCache>
                <c:ptCount val="1"/>
                <c:pt idx="0">
                  <c:v>n</c:v>
                </c:pt>
              </c:strCache>
            </c:strRef>
          </c:tx>
          <c:spPr>
            <a:solidFill>
              <a:schemeClr val="accent1"/>
            </a:solidFill>
            <a:ln>
              <a:noFill/>
            </a:ln>
            <a:effectLst/>
          </c:spPr>
          <c:invertIfNegative val="0"/>
          <c:cat>
            <c:strRef>
              <c:f>ranges!$N$3:$N$12</c:f>
              <c:strCache>
                <c:ptCount val="10"/>
                <c:pt idx="0">
                  <c:v>Agro</c:v>
                </c:pt>
                <c:pt idx="1">
                  <c:v>Coastal</c:v>
                </c:pt>
                <c:pt idx="2">
                  <c:v>Forest</c:v>
                </c:pt>
                <c:pt idx="3">
                  <c:v>Grassland</c:v>
                </c:pt>
                <c:pt idx="4">
                  <c:v>Heathland</c:v>
                </c:pt>
                <c:pt idx="5">
                  <c:v>Shrub</c:v>
                </c:pt>
                <c:pt idx="6">
                  <c:v>Sparsely vegetated</c:v>
                </c:pt>
                <c:pt idx="7">
                  <c:v>Tundra</c:v>
                </c:pt>
                <c:pt idx="8">
                  <c:v>Wetland</c:v>
                </c:pt>
                <c:pt idx="9">
                  <c:v>All</c:v>
                </c:pt>
              </c:strCache>
            </c:strRef>
          </c:cat>
          <c:val>
            <c:numRef>
              <c:f>ranges!$O$3:$O$12</c:f>
            </c:numRef>
          </c:val>
          <c:extLst>
            <c:ext xmlns:c16="http://schemas.microsoft.com/office/drawing/2014/chart" uri="{C3380CC4-5D6E-409C-BE32-E72D297353CC}">
              <c16:uniqueId val="{00000000-A383-4A9E-9FDA-A5C7B20C522B}"/>
            </c:ext>
          </c:extLst>
        </c:ser>
        <c:ser>
          <c:idx val="1"/>
          <c:order val="1"/>
          <c:tx>
            <c:strRef>
              <c:f>ranges!$Q$2</c:f>
              <c:strCache>
                <c:ptCount val="1"/>
                <c:pt idx="0">
                  <c:v>minimum</c:v>
                </c:pt>
              </c:strCache>
            </c:strRef>
          </c:tx>
          <c:spPr>
            <a:solidFill>
              <a:schemeClr val="accent2"/>
            </a:solidFill>
            <a:ln>
              <a:noFill/>
            </a:ln>
            <a:effectLst/>
          </c:spPr>
          <c:invertIfNegative val="0"/>
          <c:cat>
            <c:strRef>
              <c:f>ranges!$N$3:$N$12</c:f>
              <c:strCache>
                <c:ptCount val="10"/>
                <c:pt idx="0">
                  <c:v>Agro</c:v>
                </c:pt>
                <c:pt idx="1">
                  <c:v>Coastal</c:v>
                </c:pt>
                <c:pt idx="2">
                  <c:v>Forest</c:v>
                </c:pt>
                <c:pt idx="3">
                  <c:v>Grassland</c:v>
                </c:pt>
                <c:pt idx="4">
                  <c:v>Heathland</c:v>
                </c:pt>
                <c:pt idx="5">
                  <c:v>Shrub</c:v>
                </c:pt>
                <c:pt idx="6">
                  <c:v>Sparsely vegetated</c:v>
                </c:pt>
                <c:pt idx="7">
                  <c:v>Tundra</c:v>
                </c:pt>
                <c:pt idx="8">
                  <c:v>Wetland</c:v>
                </c:pt>
                <c:pt idx="9">
                  <c:v>All</c:v>
                </c:pt>
              </c:strCache>
            </c:strRef>
          </c:cat>
          <c:val>
            <c:numRef>
              <c:f>ranges!$Q$3:$Q$12</c:f>
              <c:numCache>
                <c:formatCode>0.00</c:formatCode>
                <c:ptCount val="10"/>
                <c:pt idx="0">
                  <c:v>-0.83</c:v>
                </c:pt>
                <c:pt idx="1">
                  <c:v>0.57999999999999996</c:v>
                </c:pt>
                <c:pt idx="2">
                  <c:v>0.02</c:v>
                </c:pt>
                <c:pt idx="3">
                  <c:v>0.24199999999999999</c:v>
                </c:pt>
                <c:pt idx="4">
                  <c:v>1.9090909090909092E-2</c:v>
                </c:pt>
                <c:pt idx="5">
                  <c:v>-0.73</c:v>
                </c:pt>
                <c:pt idx="6">
                  <c:v>0</c:v>
                </c:pt>
                <c:pt idx="7">
                  <c:v>0.1</c:v>
                </c:pt>
                <c:pt idx="8">
                  <c:v>-0.49281818181818177</c:v>
                </c:pt>
                <c:pt idx="9">
                  <c:v>-0.83</c:v>
                </c:pt>
              </c:numCache>
            </c:numRef>
          </c:val>
          <c:extLst>
            <c:ext xmlns:c16="http://schemas.microsoft.com/office/drawing/2014/chart" uri="{C3380CC4-5D6E-409C-BE32-E72D297353CC}">
              <c16:uniqueId val="{00000001-A383-4A9E-9FDA-A5C7B20C522B}"/>
            </c:ext>
          </c:extLst>
        </c:ser>
        <c:ser>
          <c:idx val="2"/>
          <c:order val="2"/>
          <c:tx>
            <c:strRef>
              <c:f>ranges!$R$2</c:f>
              <c:strCache>
                <c:ptCount val="1"/>
                <c:pt idx="0">
                  <c:v>maximum</c:v>
                </c:pt>
              </c:strCache>
            </c:strRef>
          </c:tx>
          <c:spPr>
            <a:solidFill>
              <a:schemeClr val="accent3"/>
            </a:solidFill>
            <a:ln>
              <a:noFill/>
            </a:ln>
            <a:effectLst/>
          </c:spPr>
          <c:invertIfNegative val="0"/>
          <c:cat>
            <c:strRef>
              <c:f>ranges!$N$3:$N$12</c:f>
              <c:strCache>
                <c:ptCount val="10"/>
                <c:pt idx="0">
                  <c:v>Agro</c:v>
                </c:pt>
                <c:pt idx="1">
                  <c:v>Coastal</c:v>
                </c:pt>
                <c:pt idx="2">
                  <c:v>Forest</c:v>
                </c:pt>
                <c:pt idx="3">
                  <c:v>Grassland</c:v>
                </c:pt>
                <c:pt idx="4">
                  <c:v>Heathland</c:v>
                </c:pt>
                <c:pt idx="5">
                  <c:v>Shrub</c:v>
                </c:pt>
                <c:pt idx="6">
                  <c:v>Sparsely vegetated</c:v>
                </c:pt>
                <c:pt idx="7">
                  <c:v>Tundra</c:v>
                </c:pt>
                <c:pt idx="8">
                  <c:v>Wetland</c:v>
                </c:pt>
                <c:pt idx="9">
                  <c:v>All</c:v>
                </c:pt>
              </c:strCache>
            </c:strRef>
          </c:cat>
          <c:val>
            <c:numRef>
              <c:f>ranges!$R$3:$R$12</c:f>
              <c:numCache>
                <c:formatCode>0.00</c:formatCode>
                <c:ptCount val="10"/>
                <c:pt idx="0">
                  <c:v>4.33</c:v>
                </c:pt>
                <c:pt idx="1">
                  <c:v>0.73</c:v>
                </c:pt>
                <c:pt idx="2">
                  <c:v>9.26</c:v>
                </c:pt>
                <c:pt idx="3">
                  <c:v>0.24199999999999999</c:v>
                </c:pt>
                <c:pt idx="4">
                  <c:v>1.9090909090909092E-2</c:v>
                </c:pt>
                <c:pt idx="5">
                  <c:v>1.26</c:v>
                </c:pt>
                <c:pt idx="6">
                  <c:v>0.04</c:v>
                </c:pt>
                <c:pt idx="7">
                  <c:v>1.3699999999999999</c:v>
                </c:pt>
                <c:pt idx="8">
                  <c:v>6.5</c:v>
                </c:pt>
                <c:pt idx="9">
                  <c:v>9.26</c:v>
                </c:pt>
              </c:numCache>
            </c:numRef>
          </c:val>
          <c:extLst>
            <c:ext xmlns:c16="http://schemas.microsoft.com/office/drawing/2014/chart" uri="{C3380CC4-5D6E-409C-BE32-E72D297353CC}">
              <c16:uniqueId val="{00000002-A383-4A9E-9FDA-A5C7B20C522B}"/>
            </c:ext>
          </c:extLst>
        </c:ser>
        <c:ser>
          <c:idx val="3"/>
          <c:order val="3"/>
          <c:tx>
            <c:strRef>
              <c:f>ranges!$S$2</c:f>
              <c:strCache>
                <c:ptCount val="1"/>
                <c:pt idx="0">
                  <c:v>average</c:v>
                </c:pt>
              </c:strCache>
            </c:strRef>
          </c:tx>
          <c:spPr>
            <a:solidFill>
              <a:schemeClr val="accent4"/>
            </a:solidFill>
            <a:ln>
              <a:noFill/>
            </a:ln>
            <a:effectLst/>
          </c:spPr>
          <c:invertIfNegative val="0"/>
          <c:cat>
            <c:strRef>
              <c:f>ranges!$N$3:$N$12</c:f>
              <c:strCache>
                <c:ptCount val="10"/>
                <c:pt idx="0">
                  <c:v>Agro</c:v>
                </c:pt>
                <c:pt idx="1">
                  <c:v>Coastal</c:v>
                </c:pt>
                <c:pt idx="2">
                  <c:v>Forest</c:v>
                </c:pt>
                <c:pt idx="3">
                  <c:v>Grassland</c:v>
                </c:pt>
                <c:pt idx="4">
                  <c:v>Heathland</c:v>
                </c:pt>
                <c:pt idx="5">
                  <c:v>Shrub</c:v>
                </c:pt>
                <c:pt idx="6">
                  <c:v>Sparsely vegetated</c:v>
                </c:pt>
                <c:pt idx="7">
                  <c:v>Tundra</c:v>
                </c:pt>
                <c:pt idx="8">
                  <c:v>Wetland</c:v>
                </c:pt>
                <c:pt idx="9">
                  <c:v>All</c:v>
                </c:pt>
              </c:strCache>
            </c:strRef>
          </c:cat>
          <c:val>
            <c:numRef>
              <c:f>ranges!$S$3:$S$12</c:f>
              <c:numCache>
                <c:formatCode>0.00</c:formatCode>
                <c:ptCount val="10"/>
                <c:pt idx="0">
                  <c:v>1.2473484848484848</c:v>
                </c:pt>
                <c:pt idx="1">
                  <c:v>0.65500000000000003</c:v>
                </c:pt>
                <c:pt idx="2">
                  <c:v>3.2047957658779573</c:v>
                </c:pt>
                <c:pt idx="3">
                  <c:v>0.24199999999999999</c:v>
                </c:pt>
                <c:pt idx="4">
                  <c:v>1.9090909090909092E-2</c:v>
                </c:pt>
                <c:pt idx="5">
                  <c:v>0.14799999999999999</c:v>
                </c:pt>
                <c:pt idx="6">
                  <c:v>0.02</c:v>
                </c:pt>
                <c:pt idx="7">
                  <c:v>0.60199999999999998</c:v>
                </c:pt>
                <c:pt idx="8">
                  <c:v>1.0071350267379675</c:v>
                </c:pt>
                <c:pt idx="9">
                  <c:v>1.8273432306940369</c:v>
                </c:pt>
              </c:numCache>
            </c:numRef>
          </c:val>
          <c:extLst>
            <c:ext xmlns:c16="http://schemas.microsoft.com/office/drawing/2014/chart" uri="{C3380CC4-5D6E-409C-BE32-E72D297353CC}">
              <c16:uniqueId val="{00000003-A383-4A9E-9FDA-A5C7B20C522B}"/>
            </c:ext>
          </c:extLst>
        </c:ser>
        <c:ser>
          <c:idx val="4"/>
          <c:order val="4"/>
          <c:tx>
            <c:strRef>
              <c:f>ranges!$T$2</c:f>
              <c:strCache>
                <c:ptCount val="1"/>
                <c:pt idx="0">
                  <c:v>median</c:v>
                </c:pt>
              </c:strCache>
            </c:strRef>
          </c:tx>
          <c:spPr>
            <a:solidFill>
              <a:schemeClr val="accent5"/>
            </a:solidFill>
            <a:ln>
              <a:noFill/>
            </a:ln>
            <a:effectLst/>
          </c:spPr>
          <c:invertIfNegative val="0"/>
          <c:cat>
            <c:strRef>
              <c:f>ranges!$N$3:$N$12</c:f>
              <c:strCache>
                <c:ptCount val="10"/>
                <c:pt idx="0">
                  <c:v>Agro</c:v>
                </c:pt>
                <c:pt idx="1">
                  <c:v>Coastal</c:v>
                </c:pt>
                <c:pt idx="2">
                  <c:v>Forest</c:v>
                </c:pt>
                <c:pt idx="3">
                  <c:v>Grassland</c:v>
                </c:pt>
                <c:pt idx="4">
                  <c:v>Heathland</c:v>
                </c:pt>
                <c:pt idx="5">
                  <c:v>Shrub</c:v>
                </c:pt>
                <c:pt idx="6">
                  <c:v>Sparsely vegetated</c:v>
                </c:pt>
                <c:pt idx="7">
                  <c:v>Tundra</c:v>
                </c:pt>
                <c:pt idx="8">
                  <c:v>Wetland</c:v>
                </c:pt>
                <c:pt idx="9">
                  <c:v>All</c:v>
                </c:pt>
              </c:strCache>
            </c:strRef>
          </c:cat>
          <c:val>
            <c:numRef>
              <c:f>ranges!$T$3:$T$12</c:f>
              <c:numCache>
                <c:formatCode>0.00</c:formatCode>
                <c:ptCount val="10"/>
                <c:pt idx="0">
                  <c:v>0.9</c:v>
                </c:pt>
                <c:pt idx="1">
                  <c:v>0.65500000000000003</c:v>
                </c:pt>
                <c:pt idx="2">
                  <c:v>3</c:v>
                </c:pt>
                <c:pt idx="3">
                  <c:v>0.24199999999999999</c:v>
                </c:pt>
                <c:pt idx="4">
                  <c:v>1.9090909090909092E-2</c:v>
                </c:pt>
                <c:pt idx="5">
                  <c:v>-0.02</c:v>
                </c:pt>
                <c:pt idx="6">
                  <c:v>0.02</c:v>
                </c:pt>
                <c:pt idx="7">
                  <c:v>0.28999999999999998</c:v>
                </c:pt>
                <c:pt idx="8">
                  <c:v>0.35372727272727267</c:v>
                </c:pt>
                <c:pt idx="9">
                  <c:v>0.99</c:v>
                </c:pt>
              </c:numCache>
            </c:numRef>
          </c:val>
          <c:extLst>
            <c:ext xmlns:c16="http://schemas.microsoft.com/office/drawing/2014/chart" uri="{C3380CC4-5D6E-409C-BE32-E72D297353CC}">
              <c16:uniqueId val="{00000004-A383-4A9E-9FDA-A5C7B20C522B}"/>
            </c:ext>
          </c:extLst>
        </c:ser>
        <c:dLbls>
          <c:showLegendKey val="0"/>
          <c:showVal val="0"/>
          <c:showCatName val="0"/>
          <c:showSerName val="0"/>
          <c:showPercent val="0"/>
          <c:showBubbleSize val="0"/>
        </c:dLbls>
        <c:gapWidth val="219"/>
        <c:overlap val="-27"/>
        <c:axId val="1023140376"/>
        <c:axId val="1023134472"/>
      </c:barChart>
      <c:catAx>
        <c:axId val="1023140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023134472"/>
        <c:crosses val="autoZero"/>
        <c:auto val="1"/>
        <c:lblAlgn val="ctr"/>
        <c:lblOffset val="100"/>
        <c:noMultiLvlLbl val="0"/>
      </c:catAx>
      <c:valAx>
        <c:axId val="10231344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NL"/>
                  <a:t>Mg C ha-1</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NL"/>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0231403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_xlchart.v1.0</cx:f>
      </cx:strDim>
      <cx:numDim type="val">
        <cx:f>_xlchart.v1.1</cx:f>
      </cx:numDim>
    </cx:data>
  </cx:chartData>
  <cx:chart>
    <cx:title pos="t" align="ctr" overlay="0">
      <cx:tx>
        <cx:txData>
          <cx:v>Carbon sequestration rate in terrestrial ecosystems</cx:v>
        </cx:txData>
      </cx:tx>
      <cx:txPr>
        <a:bodyPr spcFirstLastPara="1" vertOverflow="ellipsis" horzOverflow="overflow" wrap="square" lIns="0" tIns="0" rIns="0" bIns="0" anchor="ctr" anchorCtr="1"/>
        <a:lstStyle/>
        <a:p>
          <a:pPr algn="ctr" rtl="0">
            <a:defRPr/>
          </a:pPr>
          <a:r>
            <a:rPr lang="en-US" sz="1400" b="0" i="0" u="none" strike="noStrike" baseline="0">
              <a:solidFill>
                <a:sysClr val="windowText" lastClr="000000">
                  <a:lumMod val="65000"/>
                  <a:lumOff val="35000"/>
                </a:sysClr>
              </a:solidFill>
              <a:latin typeface="Calibri" panose="020F0502020204030204"/>
            </a:rPr>
            <a:t>Carbon sequestration rate in terrestrial ecosystems</a:t>
          </a:r>
        </a:p>
      </cx:txPr>
    </cx:title>
    <cx:plotArea>
      <cx:plotAreaRegion>
        <cx:series layoutId="boxWhisker" uniqueId="{E714F705-DD61-4B57-971E-39379B56BB0F}" formatIdx="0">
          <cx:dataId val="0"/>
          <cx:layoutPr>
            <cx:statistics quartileMethod="exclusive"/>
          </cx:layoutPr>
        </cx:series>
      </cx:plotAreaRegion>
      <cx:axis id="0">
        <cx:catScaling gapWidth="1"/>
        <cx:title>
          <cx:tx>
            <cx:txData>
              <cx:v>Ecosystem</cx:v>
            </cx:txData>
          </cx:tx>
          <cx:txPr>
            <a:bodyPr spcFirstLastPara="1" vertOverflow="ellipsis" horzOverflow="overflow" wrap="square" lIns="0" tIns="0" rIns="0" bIns="0" anchor="ctr" anchorCtr="1"/>
            <a:lstStyle/>
            <a:p>
              <a:pPr algn="ctr" rtl="0">
                <a:defRPr/>
              </a:pPr>
              <a:r>
                <a:rPr lang="en-US" sz="900" b="0" i="0" u="none" strike="noStrike" baseline="0">
                  <a:solidFill>
                    <a:sysClr val="windowText" lastClr="000000">
                      <a:lumMod val="65000"/>
                      <a:lumOff val="35000"/>
                    </a:sysClr>
                  </a:solidFill>
                  <a:latin typeface="Calibri" panose="020F0502020204030204"/>
                </a:rPr>
                <a:t>Ecosystem</a:t>
              </a:r>
            </a:p>
          </cx:txPr>
        </cx:title>
        <cx:tickLabels/>
      </cx:axis>
      <cx:axis id="1">
        <cx:valScaling/>
        <cx:title>
          <cx:tx>
            <cx:txData>
              <cx:v>Carbon sequestration rate (Mg C ha-1 yr-1)</cx:v>
            </cx:txData>
          </cx:tx>
          <cx:txPr>
            <a:bodyPr spcFirstLastPara="1" vertOverflow="ellipsis" horzOverflow="overflow" wrap="square" lIns="0" tIns="0" rIns="0" bIns="0" anchor="ctr" anchorCtr="1"/>
            <a:lstStyle/>
            <a:p>
              <a:pPr algn="ctr" rtl="0">
                <a:defRPr/>
              </a:pPr>
              <a:r>
                <a:rPr lang="en-US" sz="900" b="0" i="0" u="none" strike="noStrike" baseline="0">
                  <a:solidFill>
                    <a:sysClr val="windowText" lastClr="000000">
                      <a:lumMod val="65000"/>
                      <a:lumOff val="35000"/>
                    </a:sysClr>
                  </a:solidFill>
                  <a:latin typeface="Calibri" panose="020F0502020204030204"/>
                </a:rPr>
                <a:t>Carbon sequestration rate (Mg C ha-1 yr-1)</a:t>
              </a:r>
            </a:p>
          </cx:txPr>
        </cx:title>
        <cx:majorGridlines/>
        <cx:tickLabels/>
      </cx:axis>
    </cx:plotArea>
  </cx:chart>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strDim type="cat">
        <cx:f>_xlchart.v1.2</cx:f>
      </cx:strDim>
      <cx:numDim type="val">
        <cx:f>_xlchart.v1.3</cx:f>
      </cx:numDim>
    </cx:data>
  </cx:chartData>
  <cx:chart>
    <cx:title pos="t" align="ctr" overlay="0">
      <cx:tx>
        <cx:txData>
          <cx:v>Carbon stocks in terrestrial ecosystems</cx:v>
        </cx:txData>
      </cx:tx>
      <cx:txPr>
        <a:bodyPr spcFirstLastPara="1" vertOverflow="ellipsis" horzOverflow="overflow" wrap="square" lIns="0" tIns="0" rIns="0" bIns="0" anchor="ctr" anchorCtr="1"/>
        <a:lstStyle/>
        <a:p>
          <a:pPr algn="ctr" rtl="0">
            <a:defRPr/>
          </a:pPr>
          <a:r>
            <a:rPr lang="en-US" sz="1400" b="0" i="0" u="none" strike="noStrike" baseline="0">
              <a:solidFill>
                <a:sysClr val="windowText" lastClr="000000">
                  <a:lumMod val="65000"/>
                  <a:lumOff val="35000"/>
                </a:sysClr>
              </a:solidFill>
              <a:latin typeface="Calibri" panose="020F0502020204030204"/>
            </a:rPr>
            <a:t>Carbon stocks in terrestrial ecosystems</a:t>
          </a:r>
        </a:p>
      </cx:txPr>
    </cx:title>
    <cx:plotArea>
      <cx:plotAreaRegion>
        <cx:series layoutId="boxWhisker" uniqueId="{22AA1A87-01D3-4A62-AD99-15C81128B70D}" formatIdx="0">
          <cx:dataId val="0"/>
          <cx:layoutPr>
            <cx:visibility meanMarker="1"/>
            <cx:statistics quartileMethod="exclusive"/>
          </cx:layoutPr>
        </cx:series>
      </cx:plotAreaRegion>
      <cx:axis id="0">
        <cx:catScaling gapWidth="1"/>
        <cx:title>
          <cx:tx>
            <cx:txData>
              <cx:v>Ecosystem</cx:v>
            </cx:txData>
          </cx:tx>
          <cx:txPr>
            <a:bodyPr spcFirstLastPara="1" vertOverflow="ellipsis" horzOverflow="overflow" wrap="square" lIns="0" tIns="0" rIns="0" bIns="0" anchor="ctr" anchorCtr="1"/>
            <a:lstStyle/>
            <a:p>
              <a:pPr algn="ctr" rtl="0">
                <a:defRPr/>
              </a:pPr>
              <a:r>
                <a:rPr lang="en-US" sz="900" b="0" i="0" u="none" strike="noStrike" baseline="0">
                  <a:solidFill>
                    <a:sysClr val="windowText" lastClr="000000">
                      <a:lumMod val="65000"/>
                      <a:lumOff val="35000"/>
                    </a:sysClr>
                  </a:solidFill>
                  <a:latin typeface="Calibri" panose="020F0502020204030204"/>
                </a:rPr>
                <a:t>Ecosystem</a:t>
              </a:r>
            </a:p>
          </cx:txPr>
        </cx:title>
        <cx:tickLabels/>
      </cx:axis>
      <cx:axis id="1">
        <cx:valScaling/>
        <cx:title>
          <cx:tx>
            <cx:txData>
              <cx:v>Carbon stock (Mg C ha-1)</cx:v>
            </cx:txData>
          </cx:tx>
          <cx:txPr>
            <a:bodyPr spcFirstLastPara="1" vertOverflow="ellipsis" horzOverflow="overflow" wrap="square" lIns="0" tIns="0" rIns="0" bIns="0" anchor="ctr" anchorCtr="1"/>
            <a:lstStyle/>
            <a:p>
              <a:pPr algn="ctr" rtl="0">
                <a:defRPr/>
              </a:pPr>
              <a:r>
                <a:rPr lang="en-US" sz="900" b="0" i="0" u="none" strike="noStrike" baseline="0">
                  <a:solidFill>
                    <a:sysClr val="windowText" lastClr="000000">
                      <a:lumMod val="65000"/>
                      <a:lumOff val="35000"/>
                    </a:sysClr>
                  </a:solidFill>
                  <a:latin typeface="Calibri" panose="020F0502020204030204"/>
                </a:rPr>
                <a:t>Carbon stock (Mg C ha-1)</a:t>
              </a:r>
            </a:p>
          </cx:txPr>
        </cx:title>
        <cx:majorGridlines/>
        <cx:tickLabels/>
      </cx:axis>
    </cx:plotArea>
  </cx:chart>
</cx:chartSpace>
</file>

<file path=xl/charts/chartEx3.xml><?xml version="1.0" encoding="utf-8"?>
<cx:chartSpace xmlns:a="http://schemas.openxmlformats.org/drawingml/2006/main" xmlns:r="http://schemas.openxmlformats.org/officeDocument/2006/relationships" xmlns:cx="http://schemas.microsoft.com/office/drawing/2014/chartex">
  <cx:chartData>
    <cx:data id="0">
      <cx:numDim type="val">
        <cx:f>_xlchart.v1.4</cx:f>
      </cx:numDim>
    </cx:data>
  </cx:chartData>
  <cx:chart>
    <cx:title pos="t" align="ctr" overlay="0">
      <cx:tx>
        <cx:txData>
          <cx:v>Classes of the Carbon pool in terrestrial ecosystems </cx:v>
        </cx:txData>
      </cx:tx>
      <cx:txPr>
        <a:bodyPr spcFirstLastPara="1" vertOverflow="ellipsis" horzOverflow="overflow" wrap="square" lIns="0" tIns="0" rIns="0" bIns="0" anchor="ctr" anchorCtr="1"/>
        <a:lstStyle/>
        <a:p>
          <a:pPr algn="ctr" rtl="0">
            <a:defRPr/>
          </a:pPr>
          <a:r>
            <a:rPr lang="en-US" sz="1400" b="0" i="0" u="none" strike="noStrike" baseline="0">
              <a:solidFill>
                <a:sysClr val="windowText" lastClr="000000">
                  <a:lumMod val="65000"/>
                  <a:lumOff val="35000"/>
                </a:sysClr>
              </a:solidFill>
              <a:latin typeface="Calibri" panose="020F0502020204030204"/>
            </a:rPr>
            <a:t>Classes of the Carbon pool in terrestrial ecosystems </a:t>
          </a:r>
        </a:p>
      </cx:txPr>
    </cx:title>
    <cx:plotArea>
      <cx:plotAreaRegion>
        <cx:series layoutId="clusteredColumn" uniqueId="{119AFD40-56E8-498D-AFBA-86CBC7403888}">
          <cx:dataLabels/>
          <cx:dataId val="0"/>
          <cx:layoutPr>
            <cx:binning intervalClosed="r" underflow="75" overflow="300">
              <cx:binSize val="75"/>
            </cx:binning>
          </cx:layoutPr>
        </cx:series>
      </cx:plotAreaRegion>
      <cx:axis id="0">
        <cx:catScaling gapWidth="0"/>
        <cx:title>
          <cx:tx>
            <cx:txData>
              <cx:v>Classes of the carbon pool (Mg C ha-1)</cx:v>
            </cx:txData>
          </cx:tx>
          <cx:txPr>
            <a:bodyPr spcFirstLastPara="1" vertOverflow="ellipsis" horzOverflow="overflow" wrap="square" lIns="0" tIns="0" rIns="0" bIns="0" anchor="ctr" anchorCtr="1"/>
            <a:lstStyle/>
            <a:p>
              <a:pPr algn="ctr" rtl="0">
                <a:defRPr/>
              </a:pPr>
              <a:r>
                <a:rPr lang="en-US" sz="900" b="0" i="0" u="none" strike="noStrike" baseline="0">
                  <a:solidFill>
                    <a:sysClr val="windowText" lastClr="000000">
                      <a:lumMod val="65000"/>
                      <a:lumOff val="35000"/>
                    </a:sysClr>
                  </a:solidFill>
                  <a:latin typeface="Calibri" panose="020F0502020204030204"/>
                </a:rPr>
                <a:t>Classes of the carbon pool (Mg C ha-1)</a:t>
              </a:r>
            </a:p>
          </cx:txPr>
        </cx:title>
        <cx:tickLabels/>
        <cx:numFmt formatCode="0" sourceLinked="0"/>
      </cx:axis>
      <cx:axis id="1">
        <cx:valScaling/>
        <cx:title>
          <cx:tx>
            <cx:txData>
              <cx:v>number of values</cx:v>
            </cx:txData>
          </cx:tx>
          <cx:txPr>
            <a:bodyPr spcFirstLastPara="1" vertOverflow="ellipsis" horzOverflow="overflow" wrap="square" lIns="0" tIns="0" rIns="0" bIns="0" anchor="ctr" anchorCtr="1"/>
            <a:lstStyle/>
            <a:p>
              <a:pPr algn="ctr" rtl="0">
                <a:defRPr/>
              </a:pPr>
              <a:r>
                <a:rPr lang="en-US" sz="900" b="0" i="0" u="none" strike="noStrike" baseline="0">
                  <a:solidFill>
                    <a:sysClr val="windowText" lastClr="000000">
                      <a:lumMod val="65000"/>
                      <a:lumOff val="35000"/>
                    </a:sysClr>
                  </a:solidFill>
                  <a:latin typeface="Calibri" panose="020F0502020204030204"/>
                </a:rPr>
                <a:t>number of values</a:t>
              </a:r>
            </a:p>
          </cx:txPr>
        </cx:title>
        <cx:majorGridlines/>
        <cx:tickLabels/>
      </cx:axis>
    </cx:plotArea>
  </cx:chart>
</cx:chartSpace>
</file>

<file path=xl/charts/chartEx4.xml><?xml version="1.0" encoding="utf-8"?>
<cx:chartSpace xmlns:a="http://schemas.openxmlformats.org/drawingml/2006/main" xmlns:r="http://schemas.openxmlformats.org/officeDocument/2006/relationships" xmlns:cx="http://schemas.microsoft.com/office/drawing/2014/chartex">
  <cx:chartData>
    <cx:data id="0">
      <cx:numDim type="val">
        <cx:f>_xlchart.v1.5</cx:f>
      </cx:numDim>
    </cx:data>
  </cx:chartData>
  <cx:chart>
    <cx:title pos="t" align="ctr" overlay="0">
      <cx:tx>
        <cx:txData>
          <cx:v>Classes of the carbon sequestration rate in terrestrial ecosystems</cx:v>
        </cx:txData>
      </cx:tx>
      <cx:txPr>
        <a:bodyPr spcFirstLastPara="1" vertOverflow="ellipsis" horzOverflow="overflow" wrap="square" lIns="0" tIns="0" rIns="0" bIns="0" anchor="ctr" anchorCtr="1"/>
        <a:lstStyle/>
        <a:p>
          <a:pPr algn="ctr" rtl="0">
            <a:defRPr/>
          </a:pPr>
          <a:r>
            <a:rPr lang="en-US" sz="1400" b="0" i="0" u="none" strike="noStrike" baseline="0">
              <a:solidFill>
                <a:sysClr val="windowText" lastClr="000000">
                  <a:lumMod val="65000"/>
                  <a:lumOff val="35000"/>
                </a:sysClr>
              </a:solidFill>
              <a:latin typeface="Calibri" panose="020F0502020204030204"/>
            </a:rPr>
            <a:t>Classes of the carbon sequestration rate in terrestrial ecosystems</a:t>
          </a:r>
        </a:p>
      </cx:txPr>
    </cx:title>
    <cx:plotArea>
      <cx:plotAreaRegion>
        <cx:series layoutId="clusteredColumn" uniqueId="{87E35813-6218-4AEE-A853-AB72DDEE3E6B}">
          <cx:dataLabels/>
          <cx:dataId val="0"/>
          <cx:layoutPr>
            <cx:binning intervalClosed="r" underflow="1.5" overflow="6">
              <cx:binSize val="1.5"/>
            </cx:binning>
          </cx:layoutPr>
        </cx:series>
      </cx:plotAreaRegion>
      <cx:axis id="0">
        <cx:catScaling gapWidth="0"/>
        <cx:title>
          <cx:tx>
            <cx:txData>
              <cx:v>classes of C sequestration rate (Mg C ha-1 yr-1)</cx:v>
            </cx:txData>
          </cx:tx>
          <cx:txPr>
            <a:bodyPr spcFirstLastPara="1" vertOverflow="ellipsis" horzOverflow="overflow" wrap="square" lIns="0" tIns="0" rIns="0" bIns="0" anchor="ctr" anchorCtr="1"/>
            <a:lstStyle/>
            <a:p>
              <a:pPr algn="ctr" rtl="0">
                <a:defRPr/>
              </a:pPr>
              <a:r>
                <a:rPr lang="en-US" sz="900" b="0" i="0" u="none" strike="noStrike" baseline="0">
                  <a:solidFill>
                    <a:sysClr val="windowText" lastClr="000000">
                      <a:lumMod val="65000"/>
                      <a:lumOff val="35000"/>
                    </a:sysClr>
                  </a:solidFill>
                  <a:latin typeface="Calibri" panose="020F0502020204030204"/>
                </a:rPr>
                <a:t>classes of C sequestration rate (Mg C ha-1 yr-1)</a:t>
              </a:r>
            </a:p>
          </cx:txPr>
        </cx:title>
        <cx:tickLabels/>
      </cx:axis>
      <cx:axis id="1">
        <cx:valScaling/>
        <cx:title>
          <cx:tx>
            <cx:txData>
              <cx:v>number of  values</cx:v>
            </cx:txData>
          </cx:tx>
          <cx:txPr>
            <a:bodyPr spcFirstLastPara="1" vertOverflow="ellipsis" horzOverflow="overflow" wrap="square" lIns="0" tIns="0" rIns="0" bIns="0" anchor="ctr" anchorCtr="1"/>
            <a:lstStyle/>
            <a:p>
              <a:pPr algn="ctr" rtl="0">
                <a:defRPr/>
              </a:pPr>
              <a:r>
                <a:rPr lang="en-US" sz="900" b="0" i="0" u="none" strike="noStrike" baseline="0">
                  <a:solidFill>
                    <a:sysClr val="windowText" lastClr="000000">
                      <a:lumMod val="65000"/>
                      <a:lumOff val="35000"/>
                    </a:sysClr>
                  </a:solidFill>
                  <a:latin typeface="Calibri" panose="020F0502020204030204"/>
                </a:rPr>
                <a:t>number of  values</a:t>
              </a:r>
            </a:p>
          </cx:txPr>
        </cx:title>
        <cx:majorGridlines/>
        <cx:tickLabels/>
      </cx:axis>
    </cx:plotArea>
  </cx:chart>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40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solidFill>
      <a:ln>
        <a:solidFill>
          <a:schemeClr val="phClr"/>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40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solidFill>
      <a:ln>
        <a:solidFill>
          <a:schemeClr val="phClr"/>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microsoft.com/office/2014/relationships/chartEx" Target="../charts/chartEx3.xml"/><Relationship Id="rId2" Type="http://schemas.microsoft.com/office/2014/relationships/chartEx" Target="../charts/chartEx2.xml"/><Relationship Id="rId1" Type="http://schemas.microsoft.com/office/2014/relationships/chartEx" Target="../charts/chartEx1.xml"/><Relationship Id="rId4" Type="http://schemas.microsoft.com/office/2014/relationships/chartEx" Target="../charts/chartEx4.xml"/></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15</xdr:col>
      <xdr:colOff>0</xdr:colOff>
      <xdr:row>405</xdr:row>
      <xdr:rowOff>8332</xdr:rowOff>
    </xdr:from>
    <xdr:to>
      <xdr:col>19</xdr:col>
      <xdr:colOff>158749</xdr:colOff>
      <xdr:row>436</xdr:row>
      <xdr:rowOff>95249</xdr:rowOff>
    </xdr:to>
    <mc:AlternateContent xmlns:mc="http://schemas.openxmlformats.org/markup-compatibility/2006">
      <mc:Choice xmlns:cx1="http://schemas.microsoft.com/office/drawing/2015/9/8/chartex" Requires="cx1">
        <xdr:graphicFrame macro="">
          <xdr:nvGraphicFramePr>
            <xdr:cNvPr id="4" name="Chart 3">
              <a:extLst>
                <a:ext uri="{FF2B5EF4-FFF2-40B4-BE49-F238E27FC236}">
                  <a16:creationId xmlns:a16="http://schemas.microsoft.com/office/drawing/2014/main" id="{DD00B5A4-A678-4373-927D-66AA152E804B}"/>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17830800" y="203881432"/>
              <a:ext cx="7178674" cy="5992417"/>
            </a:xfrm>
            <a:prstGeom prst="rect">
              <a:avLst/>
            </a:prstGeom>
            <a:solidFill>
              <a:prstClr val="white"/>
            </a:solidFill>
            <a:ln w="1">
              <a:solidFill>
                <a:prstClr val="green"/>
              </a:solidFill>
            </a:ln>
          </xdr:spPr>
          <xdr:txBody>
            <a:bodyPr vertOverflow="clip" horzOverflow="clip"/>
            <a:lstStyle/>
            <a:p>
              <a:r>
                <a:rPr lang="nl-NL"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0</xdr:col>
      <xdr:colOff>476250</xdr:colOff>
      <xdr:row>404</xdr:row>
      <xdr:rowOff>154779</xdr:rowOff>
    </xdr:from>
    <xdr:to>
      <xdr:col>8</xdr:col>
      <xdr:colOff>1714500</xdr:colOff>
      <xdr:row>436</xdr:row>
      <xdr:rowOff>31750</xdr:rowOff>
    </xdr:to>
    <mc:AlternateContent xmlns:mc="http://schemas.openxmlformats.org/markup-compatibility/2006">
      <mc:Choice xmlns:cx1="http://schemas.microsoft.com/office/drawing/2015/9/8/chartex" Requires="cx1">
        <xdr:graphicFrame macro="">
          <xdr:nvGraphicFramePr>
            <xdr:cNvPr id="8" name="Chart 7">
              <a:extLst>
                <a:ext uri="{FF2B5EF4-FFF2-40B4-BE49-F238E27FC236}">
                  <a16:creationId xmlns:a16="http://schemas.microsoft.com/office/drawing/2014/main" id="{A98859C4-B33A-46B7-87CC-7EC19A01B46A}"/>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476250" y="203837379"/>
              <a:ext cx="8020050" cy="5972971"/>
            </a:xfrm>
            <a:prstGeom prst="rect">
              <a:avLst/>
            </a:prstGeom>
            <a:solidFill>
              <a:prstClr val="white"/>
            </a:solidFill>
            <a:ln w="1">
              <a:solidFill>
                <a:prstClr val="green"/>
              </a:solidFill>
            </a:ln>
          </xdr:spPr>
          <xdr:txBody>
            <a:bodyPr vertOverflow="clip" horzOverflow="clip"/>
            <a:lstStyle/>
            <a:p>
              <a:r>
                <a:rPr lang="nl-NL"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0</xdr:col>
      <xdr:colOff>497417</xdr:colOff>
      <xdr:row>443</xdr:row>
      <xdr:rowOff>0</xdr:rowOff>
    </xdr:from>
    <xdr:to>
      <xdr:col>8</xdr:col>
      <xdr:colOff>1471083</xdr:colOff>
      <xdr:row>465</xdr:row>
      <xdr:rowOff>158750</xdr:rowOff>
    </xdr:to>
    <mc:AlternateContent xmlns:mc="http://schemas.openxmlformats.org/markup-compatibility/2006">
      <mc:Choice xmlns:cx1="http://schemas.microsoft.com/office/drawing/2015/9/8/chartex" Requires="cx1">
        <xdr:graphicFrame macro="">
          <xdr:nvGraphicFramePr>
            <xdr:cNvPr id="6" name="Chart 5">
              <a:extLst>
                <a:ext uri="{FF2B5EF4-FFF2-40B4-BE49-F238E27FC236}">
                  <a16:creationId xmlns:a16="http://schemas.microsoft.com/office/drawing/2014/main" id="{C5C6E367-75FB-4DB0-91F1-286A02D5FE56}"/>
                </a:ext>
                <a:ext uri="{147F2762-F138-4A5C-976F-8EAC2B608ADB}">
                  <a16:predDERef xmlns:a16="http://schemas.microsoft.com/office/drawing/2014/main" pred="{C7065D4A-B36A-47EF-8E81-F33679AD2868}"/>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
            </a:graphicData>
          </a:graphic>
        </xdr:graphicFrame>
      </mc:Choice>
      <mc:Fallback>
        <xdr:sp macro="" textlink="">
          <xdr:nvSpPr>
            <xdr:cNvPr id="0" name=""/>
            <xdr:cNvSpPr>
              <a:spLocks noTextEdit="1"/>
            </xdr:cNvSpPr>
          </xdr:nvSpPr>
          <xdr:spPr>
            <a:xfrm>
              <a:off x="497417" y="211112100"/>
              <a:ext cx="7755466" cy="4349750"/>
            </a:xfrm>
            <a:prstGeom prst="rect">
              <a:avLst/>
            </a:prstGeom>
            <a:solidFill>
              <a:prstClr val="white"/>
            </a:solidFill>
            <a:ln w="1">
              <a:solidFill>
                <a:prstClr val="green"/>
              </a:solidFill>
            </a:ln>
          </xdr:spPr>
          <xdr:txBody>
            <a:bodyPr vertOverflow="clip" horzOverflow="clip"/>
            <a:lstStyle/>
            <a:p>
              <a:r>
                <a:rPr lang="nl-NL"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14</xdr:col>
      <xdr:colOff>1386416</xdr:colOff>
      <xdr:row>442</xdr:row>
      <xdr:rowOff>190499</xdr:rowOff>
    </xdr:from>
    <xdr:to>
      <xdr:col>18</xdr:col>
      <xdr:colOff>645582</xdr:colOff>
      <xdr:row>465</xdr:row>
      <xdr:rowOff>169332</xdr:rowOff>
    </xdr:to>
    <mc:AlternateContent xmlns:mc="http://schemas.openxmlformats.org/markup-compatibility/2006">
      <mc:Choice xmlns:cx1="http://schemas.microsoft.com/office/drawing/2015/9/8/chartex" Requires="cx1">
        <xdr:graphicFrame macro="">
          <xdr:nvGraphicFramePr>
            <xdr:cNvPr id="7" name="Chart 6">
              <a:extLst>
                <a:ext uri="{FF2B5EF4-FFF2-40B4-BE49-F238E27FC236}">
                  <a16:creationId xmlns:a16="http://schemas.microsoft.com/office/drawing/2014/main" id="{728FCF48-5C02-4783-9F1B-16820DB3CF17}"/>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4"/>
            </a:graphicData>
          </a:graphic>
        </xdr:graphicFrame>
      </mc:Choice>
      <mc:Fallback>
        <xdr:sp macro="" textlink="">
          <xdr:nvSpPr>
            <xdr:cNvPr id="0" name=""/>
            <xdr:cNvSpPr>
              <a:spLocks noTextEdit="1"/>
            </xdr:cNvSpPr>
          </xdr:nvSpPr>
          <xdr:spPr>
            <a:xfrm>
              <a:off x="17636066" y="211112099"/>
              <a:ext cx="6431491" cy="4360333"/>
            </a:xfrm>
            <a:prstGeom prst="rect">
              <a:avLst/>
            </a:prstGeom>
            <a:solidFill>
              <a:prstClr val="white"/>
            </a:solidFill>
            <a:ln w="1">
              <a:solidFill>
                <a:prstClr val="green"/>
              </a:solidFill>
            </a:ln>
          </xdr:spPr>
          <xdr:txBody>
            <a:bodyPr vertOverflow="clip" horzOverflow="clip"/>
            <a:lstStyle/>
            <a:p>
              <a:r>
                <a:rPr lang="nl-NL" sz="1100"/>
                <a:t>This chart isn't available in your version of Excel.
Editing this shape or saving this workbook into a different file format will permanently break the chart.</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47624</xdr:colOff>
      <xdr:row>16</xdr:row>
      <xdr:rowOff>4761</xdr:rowOff>
    </xdr:from>
    <xdr:to>
      <xdr:col>12</xdr:col>
      <xdr:colOff>542924</xdr:colOff>
      <xdr:row>31</xdr:row>
      <xdr:rowOff>9524</xdr:rowOff>
    </xdr:to>
    <xdr:graphicFrame macro="">
      <xdr:nvGraphicFramePr>
        <xdr:cNvPr id="6" name="Chart 5">
          <a:extLst>
            <a:ext uri="{FF2B5EF4-FFF2-40B4-BE49-F238E27FC236}">
              <a16:creationId xmlns:a16="http://schemas.microsoft.com/office/drawing/2014/main" id="{A09BD298-E1AF-4703-994B-7B44B2608CE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19049</xdr:colOff>
      <xdr:row>15</xdr:row>
      <xdr:rowOff>171450</xdr:rowOff>
    </xdr:from>
    <xdr:to>
      <xdr:col>24</xdr:col>
      <xdr:colOff>47624</xdr:colOff>
      <xdr:row>31</xdr:row>
      <xdr:rowOff>14287</xdr:rowOff>
    </xdr:to>
    <xdr:graphicFrame macro="">
      <xdr:nvGraphicFramePr>
        <xdr:cNvPr id="8" name="Chart 7">
          <a:extLst>
            <a:ext uri="{FF2B5EF4-FFF2-40B4-BE49-F238E27FC236}">
              <a16:creationId xmlns:a16="http://schemas.microsoft.com/office/drawing/2014/main" id="{2730AD02-29F6-4F9D-9ADD-969A34F5F4C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Hendriks, Kees" id="{48D7958A-1061-4CBC-885E-C0BFB6857AC2}" userId="Hendriks, Kees" providerId="None"/>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9B03333-1621-40A4-BA3E-96A5552E5B79}" name="Table3" displayName="Table3" ref="A1:Z397" totalsRowShown="0" headerRowDxfId="27" dataDxfId="26">
  <autoFilter ref="A1:Z397" xr:uid="{750D854F-B93D-4696-B78D-DDE41B72C9C5}"/>
  <sortState xmlns:xlrd2="http://schemas.microsoft.com/office/spreadsheetml/2017/richdata2" ref="A2:Z397">
    <sortCondition ref="B1:B397"/>
  </sortState>
  <tableColumns count="26">
    <tableColumn id="1" xr3:uid="{A8C761E2-2C1C-491F-9C09-D58A0672C660}" name="Label nr" dataDxfId="25"/>
    <tableColumn id="32" xr3:uid="{B5F18A23-10C3-4717-98FE-1F8E50C0AA87}" name="Ecosystem" dataDxfId="24"/>
    <tableColumn id="2" xr3:uid="{23E66213-4FF0-4BE8-B913-B30533FA082E}" name="Sub-ecosystem" dataDxfId="23"/>
    <tableColumn id="3" xr3:uid="{F1C8E65F-EA7C-413B-B9D1-D4AEBC7E11A7}" name="Species/Management" dataDxfId="22"/>
    <tableColumn id="4" xr3:uid="{536F632A-47F7-46EC-860E-A8957F3B6CA4}" name="Country/Region/Climate" dataDxfId="21"/>
    <tableColumn id="5" xr3:uid="{795A94C2-8581-4553-B18C-0C47F7AFFF92}" name="Measured/Modelled" dataDxfId="20"/>
    <tableColumn id="6" xr3:uid="{56480EEF-1B87-4DB9-95AA-9CA5F7DD5E96}" name="other" dataDxfId="19"/>
    <tableColumn id="7" xr3:uid="{43483631-BB6F-473F-BC26-ECE96F6A7E08}" name="other2" dataDxfId="18"/>
    <tableColumn id="8" xr3:uid="{CBF5ACC3-8E23-40E1-AF49-B80272B001E7}" name="Biomass Above Ground" dataDxfId="17"/>
    <tableColumn id="9" xr3:uid="{DACA9F5B-6D53-4128-B5BC-72B7432B86E3}" name="Biomass Below Ground" dataDxfId="16"/>
    <tableColumn id="10" xr3:uid="{EBBB34E1-F3CD-4AA5-A4D9-2A09228759DF}" name="Dead wood" dataDxfId="15"/>
    <tableColumn id="11" xr3:uid="{BDB0AC47-359E-4BC8-A104-6E8B63B47828}" name="Litter" dataDxfId="14"/>
    <tableColumn id="12" xr3:uid="{AF04D9D0-D06B-43B7-8D40-8710DE5CB41D}" name=" Soil carbon" dataDxfId="13"/>
    <tableColumn id="13" xr3:uid="{F7A2C75A-5109-4AAB-AD4A-15CDD2CDA4E7}" name="Total carbon stock (Mg C ha-1)" dataDxfId="12"/>
    <tableColumn id="14" xr3:uid="{760241D5-0138-4FF8-B146-C5E2B69452A2}" name="Comment biomass pools" dataDxfId="11"/>
    <tableColumn id="15" xr3:uid="{17E1495D-71F7-4783-B146-30B9067F3D38}" name="Sequestration rate Above ground" dataDxfId="10"/>
    <tableColumn id="16" xr3:uid="{96014217-F11C-4E7D-A164-782AC6F28413}" name="Sequestration rate Belowground " dataDxfId="9"/>
    <tableColumn id="17" xr3:uid="{3A5C16F9-0ACA-4BE5-A308-3794E44633C6}" name="Sequestration rate Dead wood" dataDxfId="8"/>
    <tableColumn id="18" xr3:uid="{99E3FBAF-A89A-4504-A76F-ECF3B66B35DF}" name="Sequestration rate, Litter" dataDxfId="7"/>
    <tableColumn id="19" xr3:uid="{7079E2B5-2DC1-4D96-B4E1-36BAC09A0E7B}" name="Sequestration rate, Soil" dataDxfId="6"/>
    <tableColumn id="20" xr3:uid="{A56D605B-EFE1-4C1E-8A67-CE114A4A24B3}" name="total carbon equestration rate (Mg C ha-1 yr-1)" dataDxfId="5"/>
    <tableColumn id="21" xr3:uid="{CDC0A3CF-7A7C-4C84-A023-3A5EED2E8D88}" name="Comment sequestration rate" dataDxfId="4"/>
    <tableColumn id="22" xr3:uid="{B2DA06DE-BEC5-4EFE-8AE7-26717E7EA5E7}" name="Reference" dataDxfId="3"/>
    <tableColumn id="23" xr3:uid="{4AC8C020-7624-46A1-A462-AAAE73CE0BD0}" name="in:" dataDxfId="2"/>
    <tableColumn id="24" xr3:uid="{92B29670-DDA1-4F7C-BF1F-FB8EC4F2858F}" name="doi/website" dataDxfId="1"/>
    <tableColumn id="25" xr3:uid="{C3B5402C-057E-4885-8DF8-3F3F678610C7}" name="Column5"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18" dT="2020-09-22T09:15:32.01" personId="{48D7958A-1061-4CBC-885E-C0BFB6857AC2}" id="{363F2E67-3F8E-4D4A-ADB2-7D06E569296A}">
    <text>is een maximum, wel erg hoog, gecontroleerd, maar klopt met literatuur vermelding</text>
  </threadedComment>
  <threadedComment ref="C192" dT="2020-08-28T10:11:25.24" personId="{48D7958A-1061-4CBC-885E-C0BFB6857AC2}" id="{673EB78B-7618-4E6D-89FE-0CBC02BD0A56}">
    <text>rainfall 200-400 mm annually</text>
  </threadedComment>
  <threadedComment ref="C193" dT="2020-08-28T10:11:25.24" personId="{48D7958A-1061-4CBC-885E-C0BFB6857AC2}" id="{3A9087B1-8F96-475C-B032-69965A0C2099}">
    <text>rainfall 200-400 mm annually</text>
  </threadedComment>
  <threadedComment ref="C194" dT="2020-08-28T10:07:12.24" personId="{48D7958A-1061-4CBC-885E-C0BFB6857AC2}" id="{BAF31C56-2BA3-4CBD-BE5A-F4B678AF53D3}">
    <text>400-600 mm rain</text>
  </threadedComment>
  <threadedComment ref="C195" dT="2020-08-28T10:07:12.24" personId="{48D7958A-1061-4CBC-885E-C0BFB6857AC2}" id="{CB826349-1011-47A3-883F-ED29887E3721}">
    <text>400-600 mm rain</text>
  </threadedComment>
</ThreadedComments>
</file>

<file path=xl/worksheets/_rels/sheet1.xml.rels><?xml version="1.0" encoding="UTF-8" standalone="yes"?>
<Relationships xmlns="http://schemas.openxmlformats.org/package/2006/relationships"><Relationship Id="rId26" Type="http://schemas.openxmlformats.org/officeDocument/2006/relationships/hyperlink" Target="http://dx.doi.org/10.1657/AAAR0015-002" TargetMode="External"/><Relationship Id="rId117" Type="http://schemas.openxmlformats.org/officeDocument/2006/relationships/hyperlink" Target="https://edepot.wur.nl/247683" TargetMode="External"/><Relationship Id="rId21" Type="http://schemas.openxmlformats.org/officeDocument/2006/relationships/hyperlink" Target="http://publications.naturalengland.org.uk/publication/1412347" TargetMode="External"/><Relationship Id="rId42" Type="http://schemas.openxmlformats.org/officeDocument/2006/relationships/hyperlink" Target="https://doi.org/10.1080/00139157.2013.843981" TargetMode="External"/><Relationship Id="rId47" Type="http://schemas.openxmlformats.org/officeDocument/2006/relationships/hyperlink" Target="http://dx.doi.org/10.1191/0959683602hl522rp" TargetMode="External"/><Relationship Id="rId63" Type="http://schemas.openxmlformats.org/officeDocument/2006/relationships/hyperlink" Target="https://link-springer-com.ezproxy.library.wur.nl/chapter/10.1007/978-94-007-6455-2_3" TargetMode="External"/><Relationship Id="rId68" Type="http://schemas.openxmlformats.org/officeDocument/2006/relationships/hyperlink" Target="https://hdl.handle.net/11250/2655580" TargetMode="External"/><Relationship Id="rId84" Type="http://schemas.openxmlformats.org/officeDocument/2006/relationships/hyperlink" Target="https://hdl.handle.net/11250/2655580" TargetMode="External"/><Relationship Id="rId89" Type="http://schemas.openxmlformats.org/officeDocument/2006/relationships/hyperlink" Target="https://hdl.handle.net/11250/2655580" TargetMode="External"/><Relationship Id="rId112" Type="http://schemas.openxmlformats.org/officeDocument/2006/relationships/hyperlink" Target="https://edepot.wur.nl/247683" TargetMode="External"/><Relationship Id="rId133" Type="http://schemas.openxmlformats.org/officeDocument/2006/relationships/hyperlink" Target="https://doi.org/10.1007%2F978-1-4020-8433-1" TargetMode="External"/><Relationship Id="rId138" Type="http://schemas.openxmlformats.org/officeDocument/2006/relationships/hyperlink" Target="https://doi.org/10.1007%2F978-1-4020-8433-1" TargetMode="External"/><Relationship Id="rId154" Type="http://schemas.openxmlformats.org/officeDocument/2006/relationships/hyperlink" Target="https://doi.org/10.1007%2F978-1-4020-8433-1" TargetMode="External"/><Relationship Id="rId159" Type="http://schemas.openxmlformats.org/officeDocument/2006/relationships/printerSettings" Target="../printerSettings/printerSettings1.bin"/><Relationship Id="rId16" Type="http://schemas.openxmlformats.org/officeDocument/2006/relationships/hyperlink" Target="https://doi.org/10.1029/2002JD002055" TargetMode="External"/><Relationship Id="rId107" Type="http://schemas.openxmlformats.org/officeDocument/2006/relationships/hyperlink" Target="https://edepot.wur.nl/247683" TargetMode="External"/><Relationship Id="rId11" Type="http://schemas.openxmlformats.org/officeDocument/2006/relationships/hyperlink" Target="https://doi-org/10.1111/j.1529-8817.2003.00783.x" TargetMode="External"/><Relationship Id="rId32" Type="http://schemas.openxmlformats.org/officeDocument/2006/relationships/hyperlink" Target="https://doi.org/10.1039/9781847559715" TargetMode="External"/><Relationship Id="rId37" Type="http://schemas.openxmlformats.org/officeDocument/2006/relationships/hyperlink" Target="https://doi.org/10.2307/2265676" TargetMode="External"/><Relationship Id="rId53" Type="http://schemas.openxmlformats.org/officeDocument/2006/relationships/hyperlink" Target="https://doi.org/10.1111/j.1469-8137.2007.02231.x" TargetMode="External"/><Relationship Id="rId58" Type="http://schemas.openxmlformats.org/officeDocument/2006/relationships/hyperlink" Target="https://doi.org/10.1039/9781847559715" TargetMode="External"/><Relationship Id="rId74" Type="http://schemas.openxmlformats.org/officeDocument/2006/relationships/hyperlink" Target="https://hdl.handle.net/11250/2655580" TargetMode="External"/><Relationship Id="rId79" Type="http://schemas.openxmlformats.org/officeDocument/2006/relationships/hyperlink" Target="https://hdl.handle.net/11250/2655580" TargetMode="External"/><Relationship Id="rId102" Type="http://schemas.openxmlformats.org/officeDocument/2006/relationships/hyperlink" Target="https://doi.org/10.1016/j.agrformet.2016.08.023" TargetMode="External"/><Relationship Id="rId123" Type="http://schemas.openxmlformats.org/officeDocument/2006/relationships/hyperlink" Target="https://doi.org/10.1007%2F978-1-4020-8433-1" TargetMode="External"/><Relationship Id="rId128" Type="http://schemas.openxmlformats.org/officeDocument/2006/relationships/hyperlink" Target="https://doi.org/10.1007%2F978-1-4020-8433-1" TargetMode="External"/><Relationship Id="rId144" Type="http://schemas.openxmlformats.org/officeDocument/2006/relationships/hyperlink" Target="https://doi.org/10.1007%2F978-1-4020-8433-1" TargetMode="External"/><Relationship Id="rId149" Type="http://schemas.openxmlformats.org/officeDocument/2006/relationships/hyperlink" Target="https://doi.org/10.1007%2F978-1-4020-8433-1" TargetMode="External"/><Relationship Id="rId5" Type="http://schemas.openxmlformats.org/officeDocument/2006/relationships/hyperlink" Target="https://www.cabdirect.org/cabdirect/abstract/20153334870" TargetMode="External"/><Relationship Id="rId90" Type="http://schemas.openxmlformats.org/officeDocument/2006/relationships/hyperlink" Target="https://hdl.handle.net/11250/2655580" TargetMode="External"/><Relationship Id="rId95" Type="http://schemas.openxmlformats.org/officeDocument/2006/relationships/hyperlink" Target="https://cdiac.ess-dive.lbl.gov/ftp/ndp017/table.html" TargetMode="External"/><Relationship Id="rId160" Type="http://schemas.openxmlformats.org/officeDocument/2006/relationships/drawing" Target="../drawings/drawing1.xml"/><Relationship Id="rId22" Type="http://schemas.openxmlformats.org/officeDocument/2006/relationships/hyperlink" Target="http://publications.naturalengland.org.uk/publication/1412347" TargetMode="External"/><Relationship Id="rId27" Type="http://schemas.openxmlformats.org/officeDocument/2006/relationships/hyperlink" Target="https://doi.org/10.1039/9781847559715" TargetMode="External"/><Relationship Id="rId43" Type="http://schemas.openxmlformats.org/officeDocument/2006/relationships/hyperlink" Target="https://doi.org/10.1080/00139157.2013.843981" TargetMode="External"/><Relationship Id="rId48" Type="http://schemas.openxmlformats.org/officeDocument/2006/relationships/hyperlink" Target="https://www.researchgate.net/publication/284260522_Economics_of_timber_plantations_on_CO2_emissions_in_The_Netherlands" TargetMode="External"/><Relationship Id="rId64" Type="http://schemas.openxmlformats.org/officeDocument/2006/relationships/hyperlink" Target="https://doi.org/10.1039/9781847559715-00179" TargetMode="External"/><Relationship Id="rId69" Type="http://schemas.openxmlformats.org/officeDocument/2006/relationships/hyperlink" Target="https://hdl.handle.net/11250/2655580" TargetMode="External"/><Relationship Id="rId113" Type="http://schemas.openxmlformats.org/officeDocument/2006/relationships/hyperlink" Target="https://edepot.wur.nl/247683" TargetMode="External"/><Relationship Id="rId118" Type="http://schemas.openxmlformats.org/officeDocument/2006/relationships/hyperlink" Target="https://edepot.wur.nl/247683" TargetMode="External"/><Relationship Id="rId134" Type="http://schemas.openxmlformats.org/officeDocument/2006/relationships/hyperlink" Target="https://doi.org/10.1007%2F978-1-4020-8433-1" TargetMode="External"/><Relationship Id="rId139" Type="http://schemas.openxmlformats.org/officeDocument/2006/relationships/hyperlink" Target="https://doi.org/10.1007%2F978-1-4020-8433-1" TargetMode="External"/><Relationship Id="rId80" Type="http://schemas.openxmlformats.org/officeDocument/2006/relationships/hyperlink" Target="https://hdl.handle.net/11250/2655580" TargetMode="External"/><Relationship Id="rId85" Type="http://schemas.openxmlformats.org/officeDocument/2006/relationships/hyperlink" Target="https://hdl.handle.net/11250/2655580" TargetMode="External"/><Relationship Id="rId150" Type="http://schemas.openxmlformats.org/officeDocument/2006/relationships/hyperlink" Target="https://doi.org/10.1007%2F978-1-4020-8433-1" TargetMode="External"/><Relationship Id="rId155" Type="http://schemas.openxmlformats.org/officeDocument/2006/relationships/hyperlink" Target="https://doi.org/10.1007%2F978-1-4020-8433-1" TargetMode="External"/><Relationship Id="rId12" Type="http://schemas.openxmlformats.org/officeDocument/2006/relationships/hyperlink" Target="https://doi.org/10.1017/S0376892902000024" TargetMode="External"/><Relationship Id="rId17" Type="http://schemas.openxmlformats.org/officeDocument/2006/relationships/hyperlink" Target="https://doi.org/10.1029/2003GL017797" TargetMode="External"/><Relationship Id="rId33" Type="http://schemas.openxmlformats.org/officeDocument/2006/relationships/hyperlink" Target="https://doi.org/10.1039/9781847559715" TargetMode="External"/><Relationship Id="rId38" Type="http://schemas.openxmlformats.org/officeDocument/2006/relationships/hyperlink" Target="https://doi.org/10.1007/978-94-007-6455-2_3" TargetMode="External"/><Relationship Id="rId59" Type="http://schemas.openxmlformats.org/officeDocument/2006/relationships/hyperlink" Target="https://doi.org/10.1039/9781847559715" TargetMode="External"/><Relationship Id="rId103" Type="http://schemas.openxmlformats.org/officeDocument/2006/relationships/hyperlink" Target="https://doi.org/10.1016/j.agrformet.2016.01.012" TargetMode="External"/><Relationship Id="rId108" Type="http://schemas.openxmlformats.org/officeDocument/2006/relationships/hyperlink" Target="https://edepot.wur.nl/247683" TargetMode="External"/><Relationship Id="rId124" Type="http://schemas.openxmlformats.org/officeDocument/2006/relationships/hyperlink" Target="https://doi.org/10.1007%2F978-1-4020-8433-1" TargetMode="External"/><Relationship Id="rId129" Type="http://schemas.openxmlformats.org/officeDocument/2006/relationships/hyperlink" Target="https://doi.org/10.1007%2F978-1-4020-8433-1" TargetMode="External"/><Relationship Id="rId54" Type="http://schemas.openxmlformats.org/officeDocument/2006/relationships/hyperlink" Target="https://doi.org/10.1111/j.1469-8137.2007.02231.x" TargetMode="External"/><Relationship Id="rId70" Type="http://schemas.openxmlformats.org/officeDocument/2006/relationships/hyperlink" Target="https://hdl.handle.net/11250/2655580" TargetMode="External"/><Relationship Id="rId75" Type="http://schemas.openxmlformats.org/officeDocument/2006/relationships/hyperlink" Target="https://hdl.handle.net/11250/2655580" TargetMode="External"/><Relationship Id="rId91" Type="http://schemas.openxmlformats.org/officeDocument/2006/relationships/hyperlink" Target="https://hdl.handle.net/11250/2655580" TargetMode="External"/><Relationship Id="rId96" Type="http://schemas.openxmlformats.org/officeDocument/2006/relationships/hyperlink" Target="https://doi.org/10.1016/S0304-3770(01)00145-0" TargetMode="External"/><Relationship Id="rId140" Type="http://schemas.openxmlformats.org/officeDocument/2006/relationships/hyperlink" Target="https://doi.org/10.1007%2F978-1-4020-8433-1" TargetMode="External"/><Relationship Id="rId145" Type="http://schemas.openxmlformats.org/officeDocument/2006/relationships/hyperlink" Target="https://doi.org/10.1007%2F978-1-4020-8433-1" TargetMode="External"/><Relationship Id="rId161" Type="http://schemas.openxmlformats.org/officeDocument/2006/relationships/vmlDrawing" Target="../drawings/vmlDrawing1.vml"/><Relationship Id="rId1" Type="http://schemas.openxmlformats.org/officeDocument/2006/relationships/hyperlink" Target="https://doi.org/10.1007/978-94-007-6455-2_3" TargetMode="External"/><Relationship Id="rId6" Type="http://schemas.openxmlformats.org/officeDocument/2006/relationships/hyperlink" Target="https://doi.org/10.1007%2F978-3-540-68027-7_8.pdf" TargetMode="External"/><Relationship Id="rId15" Type="http://schemas.openxmlformats.org/officeDocument/2006/relationships/hyperlink" Target="http://dx.doi.org/10.1657/AAAR0015-002" TargetMode="External"/><Relationship Id="rId23" Type="http://schemas.openxmlformats.org/officeDocument/2006/relationships/hyperlink" Target="https://doi.org/10.1016/S0304-3770(01)00145-0" TargetMode="External"/><Relationship Id="rId28" Type="http://schemas.openxmlformats.org/officeDocument/2006/relationships/hyperlink" Target="https://doi.org/10.1039/9781847559715" TargetMode="External"/><Relationship Id="rId36" Type="http://schemas.openxmlformats.org/officeDocument/2006/relationships/hyperlink" Target="https://bg.copernicus.org/articles/4/411/2007/bg-4-411-2007.pdf" TargetMode="External"/><Relationship Id="rId49" Type="http://schemas.openxmlformats.org/officeDocument/2006/relationships/hyperlink" Target="https://doi.org/10.19189/MaP.2018.OMB.347" TargetMode="External"/><Relationship Id="rId57" Type="http://schemas.openxmlformats.org/officeDocument/2006/relationships/hyperlink" Target="https://doi.org/10.1007/s10021-009-9255-3" TargetMode="External"/><Relationship Id="rId106" Type="http://schemas.openxmlformats.org/officeDocument/2006/relationships/hyperlink" Target="https://edepot.wur.nl/247683" TargetMode="External"/><Relationship Id="rId114" Type="http://schemas.openxmlformats.org/officeDocument/2006/relationships/hyperlink" Target="https://edepot.wur.nl/247683" TargetMode="External"/><Relationship Id="rId119" Type="http://schemas.openxmlformats.org/officeDocument/2006/relationships/hyperlink" Target="https://doi.org/10.1007%2F978-1-4020-8433-1" TargetMode="External"/><Relationship Id="rId127" Type="http://schemas.openxmlformats.org/officeDocument/2006/relationships/hyperlink" Target="https://doi.org/10.1007%2F978-1-4020-8433-1" TargetMode="External"/><Relationship Id="rId10" Type="http://schemas.openxmlformats.org/officeDocument/2006/relationships/hyperlink" Target="http://publications.naturalengland.org.uk/publication/1412347" TargetMode="External"/><Relationship Id="rId31" Type="http://schemas.openxmlformats.org/officeDocument/2006/relationships/hyperlink" Target="https://doi.org/10.1039/9781847559715" TargetMode="External"/><Relationship Id="rId44" Type="http://schemas.openxmlformats.org/officeDocument/2006/relationships/hyperlink" Target="https://www.researchgate.net/publication/284260522_Economics_of_timber_plantations_on_CO2_emissions_in_The_Netherlands" TargetMode="External"/><Relationship Id="rId52" Type="http://schemas.openxmlformats.org/officeDocument/2006/relationships/hyperlink" Target="https://doi-org/10.1111/gcb.12904" TargetMode="External"/><Relationship Id="rId60" Type="http://schemas.openxmlformats.org/officeDocument/2006/relationships/hyperlink" Target="https://doi.org/10.1016/S0378-1127(02)00306-7" TargetMode="External"/><Relationship Id="rId65" Type="http://schemas.openxmlformats.org/officeDocument/2006/relationships/hyperlink" Target="https://doi.org/10.1016/j.agrformet.2016.08.023" TargetMode="External"/><Relationship Id="rId73" Type="http://schemas.openxmlformats.org/officeDocument/2006/relationships/hyperlink" Target="https://hdl.handle.net/11250/2655580" TargetMode="External"/><Relationship Id="rId78" Type="http://schemas.openxmlformats.org/officeDocument/2006/relationships/hyperlink" Target="https://hdl.handle.net/11250/2655580" TargetMode="External"/><Relationship Id="rId81" Type="http://schemas.openxmlformats.org/officeDocument/2006/relationships/hyperlink" Target="https://hdl.handle.net/11250/2655580" TargetMode="External"/><Relationship Id="rId86" Type="http://schemas.openxmlformats.org/officeDocument/2006/relationships/hyperlink" Target="https://hdl.handle.net/11250/2655580" TargetMode="External"/><Relationship Id="rId94" Type="http://schemas.openxmlformats.org/officeDocument/2006/relationships/hyperlink" Target="https://doi.org/10.1191/0959683602hl522rp" TargetMode="External"/><Relationship Id="rId99" Type="http://schemas.openxmlformats.org/officeDocument/2006/relationships/hyperlink" Target="https://doi.org/10.1002/jpln.19881510512" TargetMode="External"/><Relationship Id="rId101" Type="http://schemas.openxmlformats.org/officeDocument/2006/relationships/hyperlink" Target="https://doi.org/10.1016/j.agrformet.2009.11.013" TargetMode="External"/><Relationship Id="rId122" Type="http://schemas.openxmlformats.org/officeDocument/2006/relationships/hyperlink" Target="https://doi.org/10.1007%2F978-1-4020-8433-1" TargetMode="External"/><Relationship Id="rId130" Type="http://schemas.openxmlformats.org/officeDocument/2006/relationships/hyperlink" Target="https://doi.org/10.1007%2F978-1-4020-8433-1" TargetMode="External"/><Relationship Id="rId135" Type="http://schemas.openxmlformats.org/officeDocument/2006/relationships/hyperlink" Target="https://doi.org/10.1007%2F978-1-4020-8433-1" TargetMode="External"/><Relationship Id="rId143" Type="http://schemas.openxmlformats.org/officeDocument/2006/relationships/hyperlink" Target="https://doi.org/10.1007%2F978-1-4020-8433-1" TargetMode="External"/><Relationship Id="rId148" Type="http://schemas.openxmlformats.org/officeDocument/2006/relationships/hyperlink" Target="https://doi.org/10.1007%2F978-1-4020-8433-1" TargetMode="External"/><Relationship Id="rId151" Type="http://schemas.openxmlformats.org/officeDocument/2006/relationships/hyperlink" Target="https://doi.org/10.1007%2F978-1-4020-8433-1" TargetMode="External"/><Relationship Id="rId156" Type="http://schemas.openxmlformats.org/officeDocument/2006/relationships/hyperlink" Target="https://doi.org/10.1007%2F978-1-4020-8433-1" TargetMode="External"/><Relationship Id="rId164" Type="http://schemas.microsoft.com/office/2017/10/relationships/threadedComment" Target="../threadedComments/threadedComment1.xml"/><Relationship Id="rId4" Type="http://schemas.openxmlformats.org/officeDocument/2006/relationships/hyperlink" Target="https://doi.org/10.1016/S0304-3770(01)00145-0" TargetMode="External"/><Relationship Id="rId9" Type="http://schemas.openxmlformats.org/officeDocument/2006/relationships/hyperlink" Target="https://doi.org/10.1016/j.scitotenv.2008.03.014" TargetMode="External"/><Relationship Id="rId13" Type="http://schemas.openxmlformats.org/officeDocument/2006/relationships/hyperlink" Target="http://mires-and-peat.net/media/map23/map_23_03.pdf" TargetMode="External"/><Relationship Id="rId18" Type="http://schemas.openxmlformats.org/officeDocument/2006/relationships/hyperlink" Target="https://doi.org/10.1191/0959683602hl522rp" TargetMode="External"/><Relationship Id="rId39" Type="http://schemas.openxmlformats.org/officeDocument/2006/relationships/hyperlink" Target="https://doi.org/10.1016/j.scitotenv.2008.03.014" TargetMode="External"/><Relationship Id="rId109" Type="http://schemas.openxmlformats.org/officeDocument/2006/relationships/hyperlink" Target="https://edepot.wur.nl/247683" TargetMode="External"/><Relationship Id="rId34" Type="http://schemas.openxmlformats.org/officeDocument/2006/relationships/hyperlink" Target="http://publications.naturalengland.org.uk/publication/1412347" TargetMode="External"/><Relationship Id="rId50" Type="http://schemas.openxmlformats.org/officeDocument/2006/relationships/hyperlink" Target="https://www.klimaatbuffers.nl/uploads/news/08112018-blue-carbon-in-nederland-9968b7.1a1d71.pdf" TargetMode="External"/><Relationship Id="rId55" Type="http://schemas.openxmlformats.org/officeDocument/2006/relationships/hyperlink" Target="https://doi.org/10.1111/j.1600-0587.1982.tb01050.x" TargetMode="External"/><Relationship Id="rId76" Type="http://schemas.openxmlformats.org/officeDocument/2006/relationships/hyperlink" Target="https://hdl.handle.net/11250/2655580" TargetMode="External"/><Relationship Id="rId97" Type="http://schemas.openxmlformats.org/officeDocument/2006/relationships/hyperlink" Target="https://doi.org/10.1016/S0378-1127(02)00306-7" TargetMode="External"/><Relationship Id="rId104" Type="http://schemas.openxmlformats.org/officeDocument/2006/relationships/hyperlink" Target="https://doi.org/10.1016/j.agrformet.2016.01.012" TargetMode="External"/><Relationship Id="rId120" Type="http://schemas.openxmlformats.org/officeDocument/2006/relationships/hyperlink" Target="https://doi.org/10.1007%2F978-1-4020-8433-1" TargetMode="External"/><Relationship Id="rId125" Type="http://schemas.openxmlformats.org/officeDocument/2006/relationships/hyperlink" Target="https://doi.org/10.1007%2F978-1-4020-8433-1" TargetMode="External"/><Relationship Id="rId141" Type="http://schemas.openxmlformats.org/officeDocument/2006/relationships/hyperlink" Target="https://doi.org/10.1007%2F978-1-4020-8433-1" TargetMode="External"/><Relationship Id="rId146" Type="http://schemas.openxmlformats.org/officeDocument/2006/relationships/hyperlink" Target="https://doi.org/10.1007%2F978-1-4020-8433-1" TargetMode="External"/><Relationship Id="rId7" Type="http://schemas.openxmlformats.org/officeDocument/2006/relationships/hyperlink" Target="https://doi.org/10.1016/j.agrformet.2009.11.013" TargetMode="External"/><Relationship Id="rId71" Type="http://schemas.openxmlformats.org/officeDocument/2006/relationships/hyperlink" Target="https://hdl.handle.net/11250/2655580" TargetMode="External"/><Relationship Id="rId92" Type="http://schemas.openxmlformats.org/officeDocument/2006/relationships/hyperlink" Target="https://hdl.handle.net/11250/2655580" TargetMode="External"/><Relationship Id="rId162" Type="http://schemas.openxmlformats.org/officeDocument/2006/relationships/table" Target="../tables/table1.xml"/><Relationship Id="rId2" Type="http://schemas.openxmlformats.org/officeDocument/2006/relationships/hyperlink" Target="https://bg.copernicus.org/articles/4/411/2007/bg-4-411-2007.pdf" TargetMode="External"/><Relationship Id="rId29" Type="http://schemas.openxmlformats.org/officeDocument/2006/relationships/hyperlink" Target="https://doi.org/10.1039/9781847559715" TargetMode="External"/><Relationship Id="rId24" Type="http://schemas.openxmlformats.org/officeDocument/2006/relationships/hyperlink" Target="https://doi.org/10.1039/9781847559715-00179" TargetMode="External"/><Relationship Id="rId40" Type="http://schemas.openxmlformats.org/officeDocument/2006/relationships/hyperlink" Target="http://publications.naturalengland.org.uk/publication/1412347" TargetMode="External"/><Relationship Id="rId45" Type="http://schemas.openxmlformats.org/officeDocument/2006/relationships/hyperlink" Target="https://www.researchgate.net/publication/284260522_Economics_of_timber_plantations_on_CO2_emissions_in_The_Netherlands" TargetMode="External"/><Relationship Id="rId66" Type="http://schemas.openxmlformats.org/officeDocument/2006/relationships/hyperlink" Target="https://doi.org/10.1139/A05-014" TargetMode="External"/><Relationship Id="rId87" Type="http://schemas.openxmlformats.org/officeDocument/2006/relationships/hyperlink" Target="https://hdl.handle.net/11250/2655580" TargetMode="External"/><Relationship Id="rId110" Type="http://schemas.openxmlformats.org/officeDocument/2006/relationships/hyperlink" Target="https://edepot.wur.nl/247683" TargetMode="External"/><Relationship Id="rId115" Type="http://schemas.openxmlformats.org/officeDocument/2006/relationships/hyperlink" Target="https://edepot.wur.nl/247683" TargetMode="External"/><Relationship Id="rId131" Type="http://schemas.openxmlformats.org/officeDocument/2006/relationships/hyperlink" Target="https://doi.org/10.1007%2F978-1-4020-8433-1" TargetMode="External"/><Relationship Id="rId136" Type="http://schemas.openxmlformats.org/officeDocument/2006/relationships/hyperlink" Target="https://doi.org/10.1007%2F978-1-4020-8433-1" TargetMode="External"/><Relationship Id="rId157" Type="http://schemas.openxmlformats.org/officeDocument/2006/relationships/hyperlink" Target="https://doi.org/10.1007%2F978-1-4020-8433-1" TargetMode="External"/><Relationship Id="rId61" Type="http://schemas.openxmlformats.org/officeDocument/2006/relationships/hyperlink" Target="https://doi-org/10.1007/978-94-007-6455-2_6" TargetMode="External"/><Relationship Id="rId82" Type="http://schemas.openxmlformats.org/officeDocument/2006/relationships/hyperlink" Target="https://hdl.handle.net/11250/2655580" TargetMode="External"/><Relationship Id="rId152" Type="http://schemas.openxmlformats.org/officeDocument/2006/relationships/hyperlink" Target="https://doi.org/10.1007%2F978-1-4020-8433-1" TargetMode="External"/><Relationship Id="rId19" Type="http://schemas.openxmlformats.org/officeDocument/2006/relationships/hyperlink" Target="https://doi.org/10.1177/0959683612450197" TargetMode="External"/><Relationship Id="rId14" Type="http://schemas.openxmlformats.org/officeDocument/2006/relationships/hyperlink" Target="http://dx.doi.org/10.1657/AAAR0015-002" TargetMode="External"/><Relationship Id="rId30" Type="http://schemas.openxmlformats.org/officeDocument/2006/relationships/hyperlink" Target="https://doi.org/10.1039/9781847559715" TargetMode="External"/><Relationship Id="rId35" Type="http://schemas.openxmlformats.org/officeDocument/2006/relationships/hyperlink" Target="https://www.jstor.org/stable/3547057" TargetMode="External"/><Relationship Id="rId56" Type="http://schemas.openxmlformats.org/officeDocument/2006/relationships/hyperlink" Target="https://doi.org/10.1007/s10021-009-9255-3" TargetMode="External"/><Relationship Id="rId77" Type="http://schemas.openxmlformats.org/officeDocument/2006/relationships/hyperlink" Target="https://hdl.handle.net/11250/2655580" TargetMode="External"/><Relationship Id="rId100" Type="http://schemas.openxmlformats.org/officeDocument/2006/relationships/hyperlink" Target="https://doi.org/10.1016/j.agrformet.2009.11.013" TargetMode="External"/><Relationship Id="rId105" Type="http://schemas.openxmlformats.org/officeDocument/2006/relationships/hyperlink" Target="https://www.jstor.org/stable/3547057" TargetMode="External"/><Relationship Id="rId126" Type="http://schemas.openxmlformats.org/officeDocument/2006/relationships/hyperlink" Target="https://doi.org/10.1007%2F978-1-4020-8433-1" TargetMode="External"/><Relationship Id="rId147" Type="http://schemas.openxmlformats.org/officeDocument/2006/relationships/hyperlink" Target="https://doi.org/10.1007%2F978-1-4020-8433-1" TargetMode="External"/><Relationship Id="rId8" Type="http://schemas.openxmlformats.org/officeDocument/2006/relationships/hyperlink" Target="https://doi-org/10.1111/j.1365-2486.2010.02180.x" TargetMode="External"/><Relationship Id="rId51" Type="http://schemas.openxmlformats.org/officeDocument/2006/relationships/hyperlink" Target="https://www.klimaatbuffers.nl/uploads/news/08112018-blue-carbon-in-nederland-9968b7.1a1d71.pdf" TargetMode="External"/><Relationship Id="rId72" Type="http://schemas.openxmlformats.org/officeDocument/2006/relationships/hyperlink" Target="https://hdl.handle.net/11250/2655580" TargetMode="External"/><Relationship Id="rId93" Type="http://schemas.openxmlformats.org/officeDocument/2006/relationships/hyperlink" Target="https://doi.org/10.1007%2F978-1-4020-8433-1" TargetMode="External"/><Relationship Id="rId98" Type="http://schemas.openxmlformats.org/officeDocument/2006/relationships/hyperlink" Target="https://doi.org/10.1039/9781847559715" TargetMode="External"/><Relationship Id="rId121" Type="http://schemas.openxmlformats.org/officeDocument/2006/relationships/hyperlink" Target="https://doi.org/10.1007%2F978-1-4020-8433-1" TargetMode="External"/><Relationship Id="rId142" Type="http://schemas.openxmlformats.org/officeDocument/2006/relationships/hyperlink" Target="https://doi.org/10.1007%2F978-1-4020-8433-1" TargetMode="External"/><Relationship Id="rId163" Type="http://schemas.openxmlformats.org/officeDocument/2006/relationships/comments" Target="../comments1.xml"/><Relationship Id="rId3" Type="http://schemas.openxmlformats.org/officeDocument/2006/relationships/hyperlink" Target="https://agupubs.onlinelibrary.wiley.com/doi/10.1029/2009GB003481" TargetMode="External"/><Relationship Id="rId25" Type="http://schemas.openxmlformats.org/officeDocument/2006/relationships/hyperlink" Target="https://doi.org/10.1039/9781847559715-00179" TargetMode="External"/><Relationship Id="rId46" Type="http://schemas.openxmlformats.org/officeDocument/2006/relationships/hyperlink" Target="https://doi.org/10.1177%2F095968369600600204" TargetMode="External"/><Relationship Id="rId67" Type="http://schemas.openxmlformats.org/officeDocument/2006/relationships/hyperlink" Target="https://hdl.handle.net/11250/2655580" TargetMode="External"/><Relationship Id="rId116" Type="http://schemas.openxmlformats.org/officeDocument/2006/relationships/hyperlink" Target="https://edepot.wur.nl/247683" TargetMode="External"/><Relationship Id="rId137" Type="http://schemas.openxmlformats.org/officeDocument/2006/relationships/hyperlink" Target="https://doi.org/10.1007%2F978-1-4020-8433-1" TargetMode="External"/><Relationship Id="rId158" Type="http://schemas.openxmlformats.org/officeDocument/2006/relationships/hyperlink" Target="https://doi-org/10.1111/j.1529-8817.2003.00783.x" TargetMode="External"/><Relationship Id="rId20" Type="http://schemas.openxmlformats.org/officeDocument/2006/relationships/hyperlink" Target="http://publications.naturalengland.org.uk/publication/1412347" TargetMode="External"/><Relationship Id="rId41" Type="http://schemas.openxmlformats.org/officeDocument/2006/relationships/hyperlink" Target="https://doi-org.ezproxy.library.wur.nl/10.1111/gcb.14475" TargetMode="External"/><Relationship Id="rId62" Type="http://schemas.openxmlformats.org/officeDocument/2006/relationships/hyperlink" Target="https://doi-org.ezproxy.library.wur.nl/10.1111/gcb.12904" TargetMode="External"/><Relationship Id="rId83" Type="http://schemas.openxmlformats.org/officeDocument/2006/relationships/hyperlink" Target="https://hdl.handle.net/11250/2655580" TargetMode="External"/><Relationship Id="rId88" Type="http://schemas.openxmlformats.org/officeDocument/2006/relationships/hyperlink" Target="https://hdl.handle.net/11250/2655580" TargetMode="External"/><Relationship Id="rId111" Type="http://schemas.openxmlformats.org/officeDocument/2006/relationships/hyperlink" Target="https://edepot.wur.nl/247683" TargetMode="External"/><Relationship Id="rId132" Type="http://schemas.openxmlformats.org/officeDocument/2006/relationships/hyperlink" Target="https://doi.org/10.1007%2F978-1-4020-8433-1" TargetMode="External"/><Relationship Id="rId153" Type="http://schemas.openxmlformats.org/officeDocument/2006/relationships/hyperlink" Target="https://doi.org/10.1007%2F978-1-4020-8433-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AFAEB-9D88-47FD-AE70-50D0A8A0A981}">
  <dimension ref="A1:Z411"/>
  <sheetViews>
    <sheetView tabSelected="1" zoomScale="90" zoomScaleNormal="90" workbookViewId="0">
      <pane xSplit="8" ySplit="1" topLeftCell="W2" activePane="bottomRight" state="frozen"/>
      <selection pane="topRight" activeCell="I1" sqref="I1"/>
      <selection pane="bottomLeft" activeCell="A7" sqref="A7"/>
      <selection pane="bottomRight" activeCell="B10" sqref="B10"/>
    </sheetView>
  </sheetViews>
  <sheetFormatPr defaultColWidth="9.140625" defaultRowHeight="15" x14ac:dyDescent="0.25"/>
  <cols>
    <col min="1" max="1" width="9.140625" style="10"/>
    <col min="2" max="2" width="21.7109375" style="3" customWidth="1"/>
    <col min="3" max="3" width="23.7109375" style="3" customWidth="1"/>
    <col min="4" max="4" width="26.5703125" style="3" customWidth="1"/>
    <col min="5" max="5" width="20.5703125" style="3" customWidth="1"/>
    <col min="6" max="6" width="25.5703125" style="3" customWidth="1"/>
    <col min="7" max="8" width="19.140625" style="3" hidden="1" customWidth="1"/>
    <col min="9" max="9" width="29.5703125" style="4" customWidth="1"/>
    <col min="10" max="10" width="29.140625" style="3" customWidth="1"/>
    <col min="11" max="11" width="26.7109375" style="3" customWidth="1"/>
    <col min="12" max="12" width="20.140625" style="3" customWidth="1"/>
    <col min="13" max="13" width="18.5703125" style="4" customWidth="1"/>
    <col min="14" max="14" width="17.85546875" style="5" customWidth="1"/>
    <col min="15" max="15" width="20.85546875" style="4" customWidth="1"/>
    <col min="16" max="16" width="22.140625" style="3" customWidth="1"/>
    <col min="17" max="17" width="22.7109375" style="3" customWidth="1"/>
    <col min="18" max="18" width="21" style="3" customWidth="1"/>
    <col min="19" max="19" width="21.42578125" style="3" customWidth="1"/>
    <col min="20" max="20" width="19.5703125" style="3" customWidth="1"/>
    <col min="21" max="21" width="23" style="6" customWidth="1"/>
    <col min="22" max="22" width="27.140625" style="3" customWidth="1"/>
    <col min="23" max="23" width="64.85546875" style="3" customWidth="1"/>
    <col min="24" max="24" width="41.5703125" style="3" customWidth="1"/>
    <col min="25" max="25" width="60.140625" style="3" customWidth="1"/>
    <col min="26" max="26" width="40.42578125" style="3" customWidth="1"/>
    <col min="27" max="16384" width="9.140625" style="3"/>
  </cols>
  <sheetData>
    <row r="1" spans="1:26" ht="45" customHeight="1" x14ac:dyDescent="0.25">
      <c r="A1" s="10" t="s">
        <v>640</v>
      </c>
      <c r="B1" s="3" t="s">
        <v>0</v>
      </c>
      <c r="C1" s="3" t="s">
        <v>1</v>
      </c>
      <c r="D1" s="3" t="s">
        <v>659</v>
      </c>
      <c r="E1" s="3" t="s">
        <v>14</v>
      </c>
      <c r="F1" s="3" t="s">
        <v>2</v>
      </c>
      <c r="G1" s="3" t="s">
        <v>3</v>
      </c>
      <c r="H1" s="3" t="s">
        <v>15</v>
      </c>
      <c r="I1" s="4" t="s">
        <v>4</v>
      </c>
      <c r="J1" s="3" t="s">
        <v>5</v>
      </c>
      <c r="K1" s="3" t="s">
        <v>13</v>
      </c>
      <c r="L1" s="3" t="s">
        <v>6</v>
      </c>
      <c r="M1" s="4" t="s">
        <v>16</v>
      </c>
      <c r="N1" s="7" t="s">
        <v>642</v>
      </c>
      <c r="O1" s="3" t="s">
        <v>670</v>
      </c>
      <c r="P1" s="3" t="s">
        <v>7</v>
      </c>
      <c r="Q1" s="3" t="s">
        <v>8</v>
      </c>
      <c r="R1" s="3" t="s">
        <v>9</v>
      </c>
      <c r="S1" s="3" t="s">
        <v>10</v>
      </c>
      <c r="T1" s="3" t="s">
        <v>11</v>
      </c>
      <c r="U1" s="6" t="s">
        <v>641</v>
      </c>
      <c r="V1" s="3" t="s">
        <v>677</v>
      </c>
      <c r="W1" s="3" t="s">
        <v>12</v>
      </c>
      <c r="X1" s="3" t="s">
        <v>17</v>
      </c>
      <c r="Y1" s="3" t="s">
        <v>682</v>
      </c>
      <c r="Z1" s="3" t="s">
        <v>19</v>
      </c>
    </row>
    <row r="2" spans="1:26" ht="30" x14ac:dyDescent="0.25">
      <c r="A2" s="10">
        <v>7</v>
      </c>
      <c r="B2" s="3" t="s">
        <v>643</v>
      </c>
      <c r="C2" s="3" t="s">
        <v>20</v>
      </c>
      <c r="D2" s="3" t="s">
        <v>21</v>
      </c>
      <c r="E2" s="3" t="s">
        <v>22</v>
      </c>
      <c r="I2" s="4">
        <v>1</v>
      </c>
      <c r="M2" s="4">
        <v>43</v>
      </c>
      <c r="N2" s="5">
        <f>SUM(Table3[[#This Row],[Biomass Above Ground]:[ Soil carbon]])</f>
        <v>44</v>
      </c>
      <c r="O2" s="4" t="s">
        <v>23</v>
      </c>
      <c r="W2" s="3" t="s">
        <v>24</v>
      </c>
      <c r="X2" s="3" t="s">
        <v>25</v>
      </c>
      <c r="Y2" s="29" t="s">
        <v>26</v>
      </c>
    </row>
    <row r="3" spans="1:26" x14ac:dyDescent="0.25">
      <c r="A3" s="10">
        <v>8</v>
      </c>
      <c r="B3" s="3" t="s">
        <v>643</v>
      </c>
      <c r="C3" s="3" t="s">
        <v>27</v>
      </c>
      <c r="E3" s="3" t="s">
        <v>28</v>
      </c>
      <c r="M3" s="4">
        <v>94</v>
      </c>
      <c r="N3" s="5">
        <f>SUM(I3:M3)</f>
        <v>94</v>
      </c>
      <c r="O3" s="4" t="s">
        <v>29</v>
      </c>
      <c r="W3" s="3" t="s">
        <v>30</v>
      </c>
      <c r="Y3" s="29" t="s">
        <v>31</v>
      </c>
    </row>
    <row r="4" spans="1:26" x14ac:dyDescent="0.25">
      <c r="A4" s="10">
        <v>9</v>
      </c>
      <c r="B4" s="3" t="s">
        <v>643</v>
      </c>
      <c r="C4" s="3" t="s">
        <v>27</v>
      </c>
      <c r="D4" s="3" t="s">
        <v>32</v>
      </c>
      <c r="E4" s="3" t="s">
        <v>33</v>
      </c>
      <c r="U4" s="6">
        <v>-0.83</v>
      </c>
      <c r="V4" s="3" t="s">
        <v>34</v>
      </c>
      <c r="W4" s="3" t="s">
        <v>35</v>
      </c>
      <c r="X4" s="3" t="s">
        <v>25</v>
      </c>
      <c r="Y4" s="8" t="s">
        <v>26</v>
      </c>
    </row>
    <row r="5" spans="1:26" ht="45" x14ac:dyDescent="0.25">
      <c r="A5" s="10">
        <v>10</v>
      </c>
      <c r="B5" s="3" t="s">
        <v>643</v>
      </c>
      <c r="C5" s="3" t="s">
        <v>36</v>
      </c>
      <c r="D5" s="3" t="s">
        <v>32</v>
      </c>
      <c r="E5" s="3" t="s">
        <v>37</v>
      </c>
      <c r="T5" s="3">
        <v>0.8</v>
      </c>
      <c r="U5" s="6">
        <f>SUM(P5:T5)</f>
        <v>0.8</v>
      </c>
      <c r="W5" s="3" t="s">
        <v>685</v>
      </c>
      <c r="Y5" s="31" t="s">
        <v>683</v>
      </c>
    </row>
    <row r="6" spans="1:26" x14ac:dyDescent="0.25">
      <c r="A6" s="10">
        <v>11</v>
      </c>
      <c r="B6" s="3" t="s">
        <v>643</v>
      </c>
      <c r="C6" s="3" t="s">
        <v>38</v>
      </c>
      <c r="D6" s="3" t="s">
        <v>39</v>
      </c>
      <c r="E6" s="3" t="s">
        <v>40</v>
      </c>
      <c r="F6" s="3" t="s">
        <v>41</v>
      </c>
      <c r="H6" s="3">
        <v>24</v>
      </c>
      <c r="I6" s="4">
        <f>0.7*10</f>
        <v>7</v>
      </c>
      <c r="N6" s="5">
        <f>SUM(I6:M6)</f>
        <v>7</v>
      </c>
      <c r="W6" s="3" t="s">
        <v>42</v>
      </c>
      <c r="Y6" s="8" t="s">
        <v>43</v>
      </c>
    </row>
    <row r="7" spans="1:26" ht="30" x14ac:dyDescent="0.25">
      <c r="A7" s="10">
        <v>12</v>
      </c>
      <c r="B7" s="3" t="s">
        <v>643</v>
      </c>
      <c r="C7" s="3" t="s">
        <v>38</v>
      </c>
      <c r="D7" s="3" t="s">
        <v>44</v>
      </c>
      <c r="E7" s="3" t="s">
        <v>45</v>
      </c>
      <c r="F7" s="3" t="s">
        <v>41</v>
      </c>
      <c r="H7" s="3">
        <v>25</v>
      </c>
      <c r="I7" s="4">
        <f>0.8*10</f>
        <v>8</v>
      </c>
      <c r="N7" s="5">
        <f>SUM(I7:M7)</f>
        <v>8</v>
      </c>
      <c r="W7" s="3" t="s">
        <v>42</v>
      </c>
      <c r="Y7" s="8" t="s">
        <v>43</v>
      </c>
    </row>
    <row r="8" spans="1:26" x14ac:dyDescent="0.25">
      <c r="A8" s="10">
        <v>13</v>
      </c>
      <c r="B8" s="3" t="s">
        <v>643</v>
      </c>
      <c r="C8" s="3" t="s">
        <v>46</v>
      </c>
      <c r="E8" s="3" t="s">
        <v>28</v>
      </c>
      <c r="M8" s="4">
        <v>122</v>
      </c>
      <c r="N8" s="5">
        <f>SUM(I8:M8)</f>
        <v>122</v>
      </c>
      <c r="W8" s="3" t="s">
        <v>30</v>
      </c>
      <c r="Y8" s="29" t="s">
        <v>31</v>
      </c>
    </row>
    <row r="9" spans="1:26" x14ac:dyDescent="0.25">
      <c r="A9" s="10">
        <v>14</v>
      </c>
      <c r="B9" s="3" t="s">
        <v>643</v>
      </c>
      <c r="C9" s="3" t="s">
        <v>46</v>
      </c>
      <c r="E9" s="3" t="s">
        <v>33</v>
      </c>
      <c r="U9" s="6">
        <v>0.6</v>
      </c>
      <c r="W9" s="3" t="s">
        <v>35</v>
      </c>
      <c r="X9" s="3" t="s">
        <v>25</v>
      </c>
      <c r="Y9" s="8" t="s">
        <v>26</v>
      </c>
    </row>
    <row r="10" spans="1:26" x14ac:dyDescent="0.25">
      <c r="A10" s="10">
        <v>15</v>
      </c>
      <c r="B10" s="3" t="s">
        <v>643</v>
      </c>
      <c r="C10" s="3" t="s">
        <v>47</v>
      </c>
      <c r="D10" s="3" t="s">
        <v>32</v>
      </c>
      <c r="E10" s="3" t="s">
        <v>37</v>
      </c>
      <c r="T10" s="3">
        <v>0.2</v>
      </c>
      <c r="U10" s="6">
        <f>SUM(P10:T10)</f>
        <v>0.2</v>
      </c>
      <c r="W10" s="3" t="s">
        <v>48</v>
      </c>
      <c r="Y10" s="31" t="s">
        <v>689</v>
      </c>
    </row>
    <row r="11" spans="1:26" ht="60" x14ac:dyDescent="0.25">
      <c r="A11" s="10">
        <v>16</v>
      </c>
      <c r="B11" s="3" t="s">
        <v>643</v>
      </c>
      <c r="C11" s="3" t="s">
        <v>47</v>
      </c>
      <c r="D11" s="3" t="s">
        <v>49</v>
      </c>
      <c r="E11" s="3" t="s">
        <v>50</v>
      </c>
      <c r="T11" s="3">
        <v>1</v>
      </c>
      <c r="U11" s="6">
        <f>SUM(P11:T11)</f>
        <v>1</v>
      </c>
      <c r="W11" s="3" t="s">
        <v>686</v>
      </c>
      <c r="Y11" s="31" t="s">
        <v>687</v>
      </c>
    </row>
    <row r="12" spans="1:26" x14ac:dyDescent="0.25">
      <c r="A12" s="10">
        <v>17</v>
      </c>
      <c r="B12" s="3" t="s">
        <v>643</v>
      </c>
      <c r="C12" s="3" t="s">
        <v>51</v>
      </c>
      <c r="D12" s="3" t="s">
        <v>52</v>
      </c>
      <c r="E12" s="3" t="s">
        <v>22</v>
      </c>
      <c r="U12" s="6">
        <v>3.17</v>
      </c>
      <c r="W12" s="3" t="s">
        <v>53</v>
      </c>
      <c r="X12" s="3" t="s">
        <v>25</v>
      </c>
      <c r="Y12" s="8" t="s">
        <v>26</v>
      </c>
    </row>
    <row r="13" spans="1:26" ht="30" x14ac:dyDescent="0.25">
      <c r="A13" s="10">
        <v>18</v>
      </c>
      <c r="B13" s="3" t="s">
        <v>643</v>
      </c>
      <c r="C13" s="3" t="s">
        <v>54</v>
      </c>
      <c r="E13" s="3" t="s">
        <v>22</v>
      </c>
      <c r="U13" s="6">
        <f>2.2*12/44</f>
        <v>0.60000000000000009</v>
      </c>
      <c r="W13" s="3" t="s">
        <v>53</v>
      </c>
      <c r="X13" s="3" t="s">
        <v>25</v>
      </c>
      <c r="Y13" s="8" t="s">
        <v>26</v>
      </c>
    </row>
    <row r="14" spans="1:26" x14ac:dyDescent="0.25">
      <c r="A14" s="10">
        <v>19</v>
      </c>
      <c r="B14" s="3" t="s">
        <v>643</v>
      </c>
      <c r="C14" s="3" t="s">
        <v>55</v>
      </c>
      <c r="D14" s="3" t="s">
        <v>21</v>
      </c>
      <c r="E14" s="3" t="s">
        <v>22</v>
      </c>
      <c r="I14" s="4">
        <v>1</v>
      </c>
      <c r="M14" s="4">
        <v>59</v>
      </c>
      <c r="N14" s="5">
        <f>SUM(Table3[[#This Row],[Biomass Above Ground]:[ Soil carbon]])</f>
        <v>60</v>
      </c>
      <c r="O14" s="4" t="s">
        <v>23</v>
      </c>
      <c r="W14" s="3" t="s">
        <v>24</v>
      </c>
      <c r="X14" s="3" t="s">
        <v>25</v>
      </c>
      <c r="Y14" s="8" t="s">
        <v>26</v>
      </c>
    </row>
    <row r="15" spans="1:26" x14ac:dyDescent="0.25">
      <c r="A15" s="10">
        <v>20</v>
      </c>
      <c r="B15" s="3" t="s">
        <v>643</v>
      </c>
      <c r="C15" s="3" t="s">
        <v>56</v>
      </c>
      <c r="E15" s="3" t="s">
        <v>22</v>
      </c>
      <c r="I15" s="4">
        <v>21.4</v>
      </c>
      <c r="M15" s="4">
        <v>73.75</v>
      </c>
      <c r="N15" s="5">
        <f>SUM(Table3[[#This Row],[Biomass Above Ground]:[ Soil carbon]])</f>
        <v>95.15</v>
      </c>
      <c r="U15" s="6">
        <f>4.66*12/44</f>
        <v>1.270909090909091</v>
      </c>
      <c r="W15" s="3" t="s">
        <v>57</v>
      </c>
      <c r="X15" s="3" t="s">
        <v>25</v>
      </c>
      <c r="Y15" s="8" t="s">
        <v>26</v>
      </c>
    </row>
    <row r="16" spans="1:26" x14ac:dyDescent="0.25">
      <c r="A16" s="10">
        <v>21</v>
      </c>
      <c r="B16" s="3" t="s">
        <v>643</v>
      </c>
      <c r="C16" s="3" t="s">
        <v>58</v>
      </c>
      <c r="E16" s="3" t="s">
        <v>22</v>
      </c>
      <c r="I16" s="4">
        <v>17.170000000000002</v>
      </c>
      <c r="M16" s="4">
        <v>39.67</v>
      </c>
      <c r="N16" s="5">
        <f>SUM(Table3[[#This Row],[Biomass Above Ground]:[ Soil carbon]])</f>
        <v>56.84</v>
      </c>
      <c r="U16" s="6">
        <f>0.1*12/44</f>
        <v>2.7272727272727278E-2</v>
      </c>
      <c r="W16" s="3" t="s">
        <v>57</v>
      </c>
      <c r="X16" s="3" t="s">
        <v>25</v>
      </c>
      <c r="Y16" s="8" t="s">
        <v>26</v>
      </c>
    </row>
    <row r="17" spans="1:25" x14ac:dyDescent="0.25">
      <c r="A17" s="10">
        <v>22</v>
      </c>
      <c r="B17" s="3" t="s">
        <v>643</v>
      </c>
      <c r="C17" s="3" t="s">
        <v>38</v>
      </c>
      <c r="E17" s="3" t="s">
        <v>59</v>
      </c>
      <c r="I17" s="11">
        <v>33.299999999999997</v>
      </c>
      <c r="M17" s="4">
        <f>5/0.3*10</f>
        <v>166.66666666666669</v>
      </c>
      <c r="N17" s="5">
        <f t="shared" ref="N17:N26" si="0">SUM(I17:M17)</f>
        <v>199.9666666666667</v>
      </c>
      <c r="O17" s="4" t="s">
        <v>60</v>
      </c>
      <c r="W17" s="3" t="s">
        <v>61</v>
      </c>
      <c r="Y17" s="29" t="s">
        <v>684</v>
      </c>
    </row>
    <row r="18" spans="1:25" x14ac:dyDescent="0.25">
      <c r="A18" s="10">
        <v>23</v>
      </c>
      <c r="B18" s="3" t="s">
        <v>643</v>
      </c>
      <c r="C18" s="3" t="s">
        <v>38</v>
      </c>
      <c r="E18" s="3" t="s">
        <v>59</v>
      </c>
      <c r="I18" s="12">
        <v>100</v>
      </c>
      <c r="M18" s="4">
        <f>5/0.3*10</f>
        <v>166.66666666666669</v>
      </c>
      <c r="N18" s="5">
        <f t="shared" si="0"/>
        <v>266.66666666666669</v>
      </c>
      <c r="O18" s="4" t="s">
        <v>62</v>
      </c>
      <c r="W18" s="3" t="s">
        <v>61</v>
      </c>
      <c r="Y18" s="29" t="s">
        <v>684</v>
      </c>
    </row>
    <row r="19" spans="1:25" ht="45" x14ac:dyDescent="0.25">
      <c r="A19" s="10">
        <v>24</v>
      </c>
      <c r="B19" s="3" t="s">
        <v>643</v>
      </c>
      <c r="C19" s="3" t="s">
        <v>38</v>
      </c>
      <c r="E19" s="3" t="s">
        <v>63</v>
      </c>
      <c r="I19" s="11">
        <v>20</v>
      </c>
      <c r="M19" s="4">
        <f>48/4.5*10</f>
        <v>106.66666666666666</v>
      </c>
      <c r="N19" s="5">
        <f t="shared" si="0"/>
        <v>126.66666666666666</v>
      </c>
      <c r="O19" s="4" t="s">
        <v>60</v>
      </c>
      <c r="W19" s="3" t="s">
        <v>61</v>
      </c>
      <c r="Y19" s="29" t="s">
        <v>684</v>
      </c>
    </row>
    <row r="20" spans="1:25" ht="45" x14ac:dyDescent="0.25">
      <c r="A20" s="10">
        <v>25</v>
      </c>
      <c r="B20" s="3" t="s">
        <v>643</v>
      </c>
      <c r="C20" s="3" t="s">
        <v>38</v>
      </c>
      <c r="E20" s="3" t="s">
        <v>63</v>
      </c>
      <c r="I20" s="11">
        <v>46.7</v>
      </c>
      <c r="M20" s="4">
        <f>48/4.5*10</f>
        <v>106.66666666666666</v>
      </c>
      <c r="N20" s="5">
        <f t="shared" si="0"/>
        <v>153.36666666666667</v>
      </c>
      <c r="O20" s="4" t="s">
        <v>62</v>
      </c>
      <c r="W20" s="3" t="s">
        <v>61</v>
      </c>
      <c r="Y20" s="29" t="s">
        <v>684</v>
      </c>
    </row>
    <row r="21" spans="1:25" ht="30" x14ac:dyDescent="0.25">
      <c r="A21" s="10">
        <v>26</v>
      </c>
      <c r="B21" s="3" t="s">
        <v>643</v>
      </c>
      <c r="C21" s="3" t="s">
        <v>38</v>
      </c>
      <c r="E21" s="3" t="s">
        <v>64</v>
      </c>
      <c r="I21" s="11">
        <v>12</v>
      </c>
      <c r="M21" s="4">
        <f>18/2.5*10</f>
        <v>72</v>
      </c>
      <c r="N21" s="5">
        <f t="shared" si="0"/>
        <v>84</v>
      </c>
      <c r="O21" s="4" t="s">
        <v>60</v>
      </c>
      <c r="W21" s="3" t="s">
        <v>61</v>
      </c>
      <c r="Y21" s="29" t="s">
        <v>684</v>
      </c>
    </row>
    <row r="22" spans="1:25" ht="30" x14ac:dyDescent="0.25">
      <c r="A22" s="10">
        <v>27</v>
      </c>
      <c r="B22" s="3" t="s">
        <v>643</v>
      </c>
      <c r="C22" s="3" t="s">
        <v>38</v>
      </c>
      <c r="E22" s="3" t="s">
        <v>64</v>
      </c>
      <c r="I22" s="11">
        <v>32</v>
      </c>
      <c r="M22" s="4">
        <f>18/2.5*10</f>
        <v>72</v>
      </c>
      <c r="N22" s="5">
        <f t="shared" si="0"/>
        <v>104</v>
      </c>
      <c r="O22" s="4" t="s">
        <v>62</v>
      </c>
      <c r="W22" s="3" t="s">
        <v>61</v>
      </c>
      <c r="Y22" s="29" t="s">
        <v>684</v>
      </c>
    </row>
    <row r="23" spans="1:25" x14ac:dyDescent="0.25">
      <c r="A23" s="10">
        <v>28</v>
      </c>
      <c r="B23" s="3" t="s">
        <v>643</v>
      </c>
      <c r="C23" s="3" t="s">
        <v>38</v>
      </c>
      <c r="E23" s="3" t="s">
        <v>65</v>
      </c>
      <c r="I23" s="11">
        <v>15.7</v>
      </c>
      <c r="M23" s="4">
        <f>78/7*10</f>
        <v>111.42857142857142</v>
      </c>
      <c r="N23" s="5">
        <f t="shared" si="0"/>
        <v>127.12857142857142</v>
      </c>
      <c r="O23" s="4" t="s">
        <v>60</v>
      </c>
      <c r="W23" s="3" t="s">
        <v>61</v>
      </c>
      <c r="Y23" s="29" t="s">
        <v>684</v>
      </c>
    </row>
    <row r="24" spans="1:25" x14ac:dyDescent="0.25">
      <c r="A24" s="10">
        <v>29</v>
      </c>
      <c r="B24" s="3" t="s">
        <v>643</v>
      </c>
      <c r="C24" s="3" t="s">
        <v>38</v>
      </c>
      <c r="E24" s="3" t="s">
        <v>65</v>
      </c>
      <c r="I24" s="11">
        <v>40</v>
      </c>
      <c r="M24" s="4">
        <f>78/7*10</f>
        <v>111.42857142857142</v>
      </c>
      <c r="N24" s="5">
        <f t="shared" si="0"/>
        <v>151.42857142857142</v>
      </c>
      <c r="O24" s="4" t="s">
        <v>62</v>
      </c>
      <c r="W24" s="3" t="s">
        <v>61</v>
      </c>
      <c r="Y24" s="29" t="s">
        <v>684</v>
      </c>
    </row>
    <row r="25" spans="1:25" ht="30" x14ac:dyDescent="0.25">
      <c r="A25" s="10">
        <v>30</v>
      </c>
      <c r="B25" s="3" t="s">
        <v>643</v>
      </c>
      <c r="C25" s="3" t="s">
        <v>38</v>
      </c>
      <c r="E25" s="3" t="s">
        <v>66</v>
      </c>
      <c r="I25" s="11">
        <v>18.8</v>
      </c>
      <c r="M25" s="4">
        <f>81/6.4*10</f>
        <v>126.5625</v>
      </c>
      <c r="N25" s="5">
        <f t="shared" si="0"/>
        <v>145.36250000000001</v>
      </c>
      <c r="O25" s="4" t="s">
        <v>60</v>
      </c>
      <c r="W25" s="3" t="s">
        <v>61</v>
      </c>
      <c r="Y25" s="29" t="s">
        <v>684</v>
      </c>
    </row>
    <row r="26" spans="1:25" ht="55.5" customHeight="1" x14ac:dyDescent="0.25">
      <c r="A26" s="10">
        <v>31</v>
      </c>
      <c r="B26" s="3" t="s">
        <v>643</v>
      </c>
      <c r="C26" s="3" t="s">
        <v>38</v>
      </c>
      <c r="E26" s="3" t="s">
        <v>66</v>
      </c>
      <c r="I26" s="11">
        <v>42.2</v>
      </c>
      <c r="M26" s="4">
        <f>81/6.4*10</f>
        <v>126.5625</v>
      </c>
      <c r="N26" s="5">
        <f t="shared" si="0"/>
        <v>168.76249999999999</v>
      </c>
      <c r="O26" s="4" t="s">
        <v>62</v>
      </c>
      <c r="W26" s="3" t="s">
        <v>61</v>
      </c>
      <c r="Y26" s="29" t="s">
        <v>684</v>
      </c>
    </row>
    <row r="27" spans="1:25" ht="75" x14ac:dyDescent="0.25">
      <c r="A27" s="10">
        <v>223</v>
      </c>
      <c r="B27" s="3" t="s">
        <v>643</v>
      </c>
      <c r="C27" s="3" t="s">
        <v>296</v>
      </c>
      <c r="D27" s="3" t="s">
        <v>297</v>
      </c>
      <c r="E27" s="3" t="s">
        <v>37</v>
      </c>
      <c r="U27" s="6">
        <v>1.6</v>
      </c>
      <c r="W27" s="3" t="s">
        <v>298</v>
      </c>
      <c r="X27" s="3" t="s">
        <v>299</v>
      </c>
      <c r="Y27" s="8" t="s">
        <v>26</v>
      </c>
    </row>
    <row r="28" spans="1:25" x14ac:dyDescent="0.25">
      <c r="A28" s="10">
        <v>224</v>
      </c>
      <c r="B28" s="3" t="s">
        <v>643</v>
      </c>
      <c r="C28" s="3" t="s">
        <v>300</v>
      </c>
      <c r="D28" s="3" t="s">
        <v>297</v>
      </c>
      <c r="E28" s="3" t="s">
        <v>37</v>
      </c>
      <c r="U28" s="6">
        <v>2.2000000000000002</v>
      </c>
      <c r="W28" s="3" t="s">
        <v>298</v>
      </c>
      <c r="X28" s="3" t="s">
        <v>25</v>
      </c>
      <c r="Y28" s="8" t="s">
        <v>26</v>
      </c>
    </row>
    <row r="29" spans="1:25" ht="60" x14ac:dyDescent="0.25">
      <c r="A29" s="19">
        <v>387</v>
      </c>
      <c r="B29" s="3" t="s">
        <v>643</v>
      </c>
      <c r="C29" s="3" t="s">
        <v>46</v>
      </c>
      <c r="D29" s="3" t="s">
        <v>32</v>
      </c>
      <c r="E29" s="3" t="s">
        <v>22</v>
      </c>
      <c r="P29" s="3">
        <v>4.33</v>
      </c>
      <c r="U29" s="6">
        <f>SUM(Table3[[#This Row],[Sequestration rate Above ground]:[Sequestration rate, Soil]])</f>
        <v>4.33</v>
      </c>
      <c r="W29" s="3" t="s">
        <v>540</v>
      </c>
      <c r="X29" s="3" t="s">
        <v>524</v>
      </c>
      <c r="Y29" s="8" t="s">
        <v>525</v>
      </c>
    </row>
    <row r="30" spans="1:25" ht="60" x14ac:dyDescent="0.25">
      <c r="A30" s="19">
        <v>388</v>
      </c>
      <c r="B30" s="3" t="s">
        <v>643</v>
      </c>
      <c r="C30" s="3" t="s">
        <v>46</v>
      </c>
      <c r="D30" s="3" t="s">
        <v>541</v>
      </c>
      <c r="E30" s="3" t="s">
        <v>22</v>
      </c>
      <c r="M30" s="4">
        <v>70</v>
      </c>
      <c r="N30" s="5">
        <f>SUM(Table3[[#This Row],[Biomass Above Ground]:[ Soil carbon]])</f>
        <v>70</v>
      </c>
      <c r="O30" s="4" t="s">
        <v>542</v>
      </c>
      <c r="W30" s="3" t="s">
        <v>543</v>
      </c>
      <c r="X30" s="3" t="s">
        <v>524</v>
      </c>
      <c r="Y30" s="8" t="s">
        <v>525</v>
      </c>
    </row>
    <row r="31" spans="1:25" ht="60" x14ac:dyDescent="0.25">
      <c r="A31" s="19">
        <v>389</v>
      </c>
      <c r="B31" s="3" t="s">
        <v>643</v>
      </c>
      <c r="C31" s="3" t="s">
        <v>46</v>
      </c>
      <c r="D31" s="3" t="s">
        <v>541</v>
      </c>
      <c r="E31" s="3" t="s">
        <v>22</v>
      </c>
      <c r="M31" s="4">
        <v>130</v>
      </c>
      <c r="N31" s="5">
        <f>SUM(Table3[[#This Row],[Biomass Above Ground]:[ Soil carbon]])</f>
        <v>130</v>
      </c>
      <c r="O31" s="4" t="s">
        <v>544</v>
      </c>
      <c r="W31" s="3" t="s">
        <v>543</v>
      </c>
      <c r="X31" s="3" t="s">
        <v>524</v>
      </c>
      <c r="Y31" s="8" t="s">
        <v>525</v>
      </c>
    </row>
    <row r="32" spans="1:25" ht="60" x14ac:dyDescent="0.25">
      <c r="A32" s="19">
        <v>390</v>
      </c>
      <c r="B32" s="3" t="s">
        <v>643</v>
      </c>
      <c r="C32" s="3" t="s">
        <v>46</v>
      </c>
      <c r="D32" s="3" t="s">
        <v>38</v>
      </c>
      <c r="E32" s="3" t="s">
        <v>545</v>
      </c>
      <c r="M32" s="4">
        <v>90</v>
      </c>
      <c r="N32" s="5">
        <f>SUM(Table3[[#This Row],[Biomass Above Ground]:[ Soil carbon]])</f>
        <v>90</v>
      </c>
      <c r="O32" s="4" t="s">
        <v>546</v>
      </c>
      <c r="W32" s="3" t="s">
        <v>547</v>
      </c>
      <c r="X32" s="3" t="s">
        <v>524</v>
      </c>
      <c r="Y32" s="8" t="s">
        <v>525</v>
      </c>
    </row>
    <row r="33" spans="1:25" ht="60" x14ac:dyDescent="0.25">
      <c r="A33" s="19">
        <v>391</v>
      </c>
      <c r="B33" s="3" t="s">
        <v>643</v>
      </c>
      <c r="C33" s="3" t="s">
        <v>46</v>
      </c>
      <c r="D33" s="3" t="s">
        <v>38</v>
      </c>
      <c r="E33" s="3" t="s">
        <v>545</v>
      </c>
      <c r="M33" s="4">
        <v>100</v>
      </c>
      <c r="N33" s="5">
        <f>SUM(Table3[[#This Row],[Biomass Above Ground]:[ Soil carbon]])</f>
        <v>100</v>
      </c>
      <c r="O33" s="4" t="s">
        <v>548</v>
      </c>
      <c r="W33" s="3" t="s">
        <v>547</v>
      </c>
      <c r="X33" s="3" t="s">
        <v>524</v>
      </c>
      <c r="Y33" s="8" t="s">
        <v>525</v>
      </c>
    </row>
    <row r="34" spans="1:25" ht="60" x14ac:dyDescent="0.25">
      <c r="A34" s="19">
        <v>392</v>
      </c>
      <c r="B34" s="3" t="s">
        <v>643</v>
      </c>
      <c r="C34" s="3" t="s">
        <v>46</v>
      </c>
      <c r="D34" s="3" t="s">
        <v>38</v>
      </c>
      <c r="E34" s="3" t="s">
        <v>549</v>
      </c>
      <c r="M34" s="4">
        <v>98</v>
      </c>
      <c r="N34" s="5">
        <f>SUM(Table3[[#This Row],[Biomass Above Ground]:[ Soil carbon]])</f>
        <v>98</v>
      </c>
      <c r="W34" s="3" t="s">
        <v>530</v>
      </c>
      <c r="X34" s="3" t="s">
        <v>524</v>
      </c>
      <c r="Y34" s="8" t="s">
        <v>525</v>
      </c>
    </row>
    <row r="35" spans="1:25" ht="54" customHeight="1" x14ac:dyDescent="0.25">
      <c r="A35" s="19">
        <v>393</v>
      </c>
      <c r="B35" s="3" t="s">
        <v>643</v>
      </c>
      <c r="C35" s="3" t="s">
        <v>27</v>
      </c>
      <c r="D35" s="3" t="s">
        <v>32</v>
      </c>
      <c r="E35" s="3" t="s">
        <v>549</v>
      </c>
      <c r="M35" s="4">
        <v>83</v>
      </c>
      <c r="N35" s="5">
        <f>SUM(Table3[[#This Row],[Biomass Above Ground]:[ Soil carbon]])</f>
        <v>83</v>
      </c>
      <c r="W35" s="3" t="s">
        <v>530</v>
      </c>
      <c r="X35" s="3" t="s">
        <v>524</v>
      </c>
      <c r="Y35" s="8" t="s">
        <v>525</v>
      </c>
    </row>
    <row r="36" spans="1:25" x14ac:dyDescent="0.25">
      <c r="A36" s="10">
        <v>239</v>
      </c>
      <c r="B36" s="19" t="s">
        <v>322</v>
      </c>
      <c r="C36" s="3" t="s">
        <v>322</v>
      </c>
      <c r="D36" s="3" t="s">
        <v>267</v>
      </c>
      <c r="E36" s="3" t="s">
        <v>22</v>
      </c>
      <c r="U36" s="6">
        <v>0.57999999999999996</v>
      </c>
      <c r="W36" s="3" t="s">
        <v>323</v>
      </c>
      <c r="X36" s="3" t="s">
        <v>25</v>
      </c>
      <c r="Y36" s="8" t="s">
        <v>26</v>
      </c>
    </row>
    <row r="37" spans="1:25" x14ac:dyDescent="0.25">
      <c r="A37" s="10">
        <v>240</v>
      </c>
      <c r="B37" s="19" t="s">
        <v>322</v>
      </c>
      <c r="C37" s="3" t="s">
        <v>322</v>
      </c>
      <c r="D37" s="3" t="s">
        <v>267</v>
      </c>
      <c r="E37" s="3" t="s">
        <v>22</v>
      </c>
      <c r="U37" s="6">
        <v>0.73</v>
      </c>
      <c r="W37" s="3" t="s">
        <v>323</v>
      </c>
      <c r="X37" s="3" t="s">
        <v>25</v>
      </c>
      <c r="Y37" s="8" t="s">
        <v>26</v>
      </c>
    </row>
    <row r="38" spans="1:25" x14ac:dyDescent="0.25">
      <c r="A38" s="10">
        <v>242</v>
      </c>
      <c r="B38" s="19" t="s">
        <v>322</v>
      </c>
      <c r="C38" s="3" t="s">
        <v>322</v>
      </c>
      <c r="D38" s="3" t="s">
        <v>21</v>
      </c>
      <c r="E38" s="3" t="s">
        <v>22</v>
      </c>
      <c r="M38" s="4">
        <v>48</v>
      </c>
      <c r="N38" s="5">
        <f>SUM(Table3[[#This Row],[Biomass Above Ground]:[ Soil carbon]])</f>
        <v>48</v>
      </c>
      <c r="W38" s="3" t="s">
        <v>324</v>
      </c>
      <c r="X38" s="3" t="s">
        <v>25</v>
      </c>
      <c r="Y38" s="8" t="s">
        <v>26</v>
      </c>
    </row>
    <row r="39" spans="1:25" ht="30" x14ac:dyDescent="0.25">
      <c r="A39" s="10">
        <v>32</v>
      </c>
      <c r="B39" s="3" t="s">
        <v>67</v>
      </c>
      <c r="C39" s="3" t="s">
        <v>68</v>
      </c>
      <c r="E39" s="3" t="s">
        <v>69</v>
      </c>
      <c r="T39" s="3">
        <v>0.8</v>
      </c>
      <c r="U39" s="6">
        <f>SUM(P39:T39)</f>
        <v>0.8</v>
      </c>
      <c r="W39" s="3" t="s">
        <v>70</v>
      </c>
      <c r="X39" s="3" t="s">
        <v>61</v>
      </c>
      <c r="Y39" s="29" t="s">
        <v>684</v>
      </c>
    </row>
    <row r="40" spans="1:25" ht="30" x14ac:dyDescent="0.25">
      <c r="A40" s="10">
        <v>33</v>
      </c>
      <c r="B40" s="3" t="s">
        <v>67</v>
      </c>
      <c r="C40" s="3" t="s">
        <v>68</v>
      </c>
      <c r="E40" s="3" t="s">
        <v>69</v>
      </c>
      <c r="T40" s="3">
        <v>6.3</v>
      </c>
      <c r="U40" s="6">
        <f>SUM(P40:T40)</f>
        <v>6.3</v>
      </c>
      <c r="W40" s="3" t="s">
        <v>70</v>
      </c>
      <c r="X40" s="3" t="s">
        <v>61</v>
      </c>
      <c r="Y40" s="29" t="s">
        <v>684</v>
      </c>
    </row>
    <row r="41" spans="1:25" ht="30" x14ac:dyDescent="0.25">
      <c r="A41" s="10">
        <v>34</v>
      </c>
      <c r="B41" s="3" t="s">
        <v>67</v>
      </c>
      <c r="C41" s="3" t="s">
        <v>71</v>
      </c>
      <c r="E41" s="3" t="s">
        <v>69</v>
      </c>
      <c r="L41" s="3">
        <v>500</v>
      </c>
      <c r="N41" s="5">
        <f t="shared" ref="N41:N48" si="1">SUM(I41:M41)</f>
        <v>500</v>
      </c>
      <c r="O41" s="4" t="s">
        <v>72</v>
      </c>
      <c r="W41" s="3" t="s">
        <v>73</v>
      </c>
      <c r="X41" s="3" t="s">
        <v>61</v>
      </c>
      <c r="Y41" s="29" t="s">
        <v>684</v>
      </c>
    </row>
    <row r="42" spans="1:25" ht="30" x14ac:dyDescent="0.25">
      <c r="A42" s="10">
        <v>35</v>
      </c>
      <c r="B42" s="3" t="s">
        <v>67</v>
      </c>
      <c r="C42" s="3" t="s">
        <v>74</v>
      </c>
      <c r="E42" s="3" t="s">
        <v>69</v>
      </c>
      <c r="L42" s="3">
        <v>200</v>
      </c>
      <c r="N42" s="5">
        <f t="shared" si="1"/>
        <v>200</v>
      </c>
      <c r="O42" s="4" t="s">
        <v>75</v>
      </c>
      <c r="W42" s="3" t="s">
        <v>61</v>
      </c>
      <c r="Y42" s="29" t="s">
        <v>684</v>
      </c>
    </row>
    <row r="43" spans="1:25" ht="30" x14ac:dyDescent="0.25">
      <c r="A43" s="10">
        <v>36</v>
      </c>
      <c r="B43" s="3" t="s">
        <v>67</v>
      </c>
      <c r="C43" s="3" t="s">
        <v>76</v>
      </c>
      <c r="E43" s="3" t="s">
        <v>69</v>
      </c>
      <c r="I43" s="4">
        <v>11</v>
      </c>
      <c r="M43" s="11"/>
      <c r="N43" s="5">
        <f t="shared" si="1"/>
        <v>11</v>
      </c>
      <c r="O43" s="4" t="s">
        <v>77</v>
      </c>
      <c r="W43" s="3" t="s">
        <v>61</v>
      </c>
      <c r="Y43" s="29" t="s">
        <v>684</v>
      </c>
    </row>
    <row r="44" spans="1:25" ht="30" x14ac:dyDescent="0.25">
      <c r="A44" s="10">
        <v>37</v>
      </c>
      <c r="B44" s="3" t="s">
        <v>67</v>
      </c>
      <c r="C44" s="3" t="s">
        <v>76</v>
      </c>
      <c r="E44" s="3" t="s">
        <v>69</v>
      </c>
      <c r="I44" s="4">
        <v>105</v>
      </c>
      <c r="M44" s="11"/>
      <c r="N44" s="5">
        <f t="shared" si="1"/>
        <v>105</v>
      </c>
      <c r="O44" s="4" t="s">
        <v>78</v>
      </c>
      <c r="W44" s="3" t="s">
        <v>61</v>
      </c>
      <c r="Y44" s="29" t="s">
        <v>684</v>
      </c>
    </row>
    <row r="45" spans="1:25" ht="80.25" customHeight="1" x14ac:dyDescent="0.25">
      <c r="A45" s="10">
        <v>38</v>
      </c>
      <c r="B45" s="3" t="s">
        <v>67</v>
      </c>
      <c r="C45" s="3" t="s">
        <v>79</v>
      </c>
      <c r="E45" s="3" t="s">
        <v>69</v>
      </c>
      <c r="I45" s="4">
        <v>12</v>
      </c>
      <c r="M45" s="11">
        <v>3</v>
      </c>
      <c r="N45" s="5">
        <f t="shared" si="1"/>
        <v>15</v>
      </c>
      <c r="O45" s="4" t="s">
        <v>77</v>
      </c>
      <c r="W45" s="3" t="s">
        <v>61</v>
      </c>
      <c r="Y45" s="29" t="s">
        <v>684</v>
      </c>
    </row>
    <row r="46" spans="1:25" ht="30" x14ac:dyDescent="0.25">
      <c r="A46" s="10">
        <v>39</v>
      </c>
      <c r="B46" s="3" t="s">
        <v>67</v>
      </c>
      <c r="C46" s="3" t="s">
        <v>79</v>
      </c>
      <c r="E46" s="3" t="s">
        <v>69</v>
      </c>
      <c r="I46" s="4">
        <v>60</v>
      </c>
      <c r="M46" s="11">
        <v>40</v>
      </c>
      <c r="N46" s="5">
        <f t="shared" si="1"/>
        <v>100</v>
      </c>
      <c r="O46" s="4" t="s">
        <v>78</v>
      </c>
      <c r="W46" s="3" t="s">
        <v>61</v>
      </c>
      <c r="Y46" s="29" t="s">
        <v>684</v>
      </c>
    </row>
    <row r="47" spans="1:25" ht="45" x14ac:dyDescent="0.25">
      <c r="A47" s="10">
        <v>40</v>
      </c>
      <c r="B47" s="3" t="s">
        <v>67</v>
      </c>
      <c r="C47" s="3" t="s">
        <v>80</v>
      </c>
      <c r="E47" s="3" t="s">
        <v>69</v>
      </c>
      <c r="I47" s="4">
        <v>95</v>
      </c>
      <c r="N47" s="5">
        <f t="shared" si="1"/>
        <v>95</v>
      </c>
      <c r="W47" s="3" t="s">
        <v>61</v>
      </c>
      <c r="Y47" s="29" t="s">
        <v>684</v>
      </c>
    </row>
    <row r="48" spans="1:25" x14ac:dyDescent="0.25">
      <c r="A48" s="10">
        <v>41</v>
      </c>
      <c r="B48" s="3" t="s">
        <v>67</v>
      </c>
      <c r="C48" s="3" t="s">
        <v>81</v>
      </c>
      <c r="D48" s="3" t="s">
        <v>82</v>
      </c>
      <c r="I48" s="11">
        <v>62</v>
      </c>
      <c r="J48" s="3">
        <v>16</v>
      </c>
      <c r="L48" s="3">
        <v>34</v>
      </c>
      <c r="N48" s="5">
        <f t="shared" si="1"/>
        <v>112</v>
      </c>
      <c r="W48" s="3" t="s">
        <v>83</v>
      </c>
      <c r="Y48" s="8" t="s">
        <v>31</v>
      </c>
    </row>
    <row r="49" spans="1:25" ht="69" customHeight="1" x14ac:dyDescent="0.25">
      <c r="A49" s="10">
        <v>42</v>
      </c>
      <c r="B49" s="3" t="s">
        <v>67</v>
      </c>
      <c r="C49" s="3" t="s">
        <v>84</v>
      </c>
      <c r="E49" s="3" t="s">
        <v>22</v>
      </c>
      <c r="I49" s="4">
        <f xml:space="preserve"> 500*12/44</f>
        <v>136.36363636363637</v>
      </c>
      <c r="N49" s="5">
        <f>SUM(Table3[[#This Row],[Biomass Above Ground]:[ Soil carbon]])</f>
        <v>136.36363636363637</v>
      </c>
      <c r="O49" s="4" t="s">
        <v>85</v>
      </c>
      <c r="P49" s="4">
        <f>11*12/44</f>
        <v>3</v>
      </c>
      <c r="U49" s="6">
        <f>SUM(Table3[[#This Row],[Sequestration rate Above ground]:[Sequestration rate, Soil]])</f>
        <v>3</v>
      </c>
      <c r="W49" s="3" t="s">
        <v>86</v>
      </c>
      <c r="X49" s="3" t="s">
        <v>25</v>
      </c>
      <c r="Y49" s="8" t="s">
        <v>26</v>
      </c>
    </row>
    <row r="50" spans="1:25" ht="30" x14ac:dyDescent="0.25">
      <c r="A50" s="10">
        <v>43</v>
      </c>
      <c r="B50" s="3" t="s">
        <v>67</v>
      </c>
      <c r="C50" s="3" t="s">
        <v>87</v>
      </c>
      <c r="E50" s="3" t="s">
        <v>22</v>
      </c>
      <c r="I50" s="4">
        <f>450*12/44</f>
        <v>122.72727272727273</v>
      </c>
      <c r="N50" s="5">
        <f>SUM(Table3[[#This Row],[Biomass Above Ground]:[ Soil carbon]])</f>
        <v>122.72727272727273</v>
      </c>
      <c r="O50" s="4" t="s">
        <v>85</v>
      </c>
      <c r="P50" s="4">
        <f>16*12/44</f>
        <v>4.3636363636363633</v>
      </c>
      <c r="U50" s="6">
        <f>SUM(Table3[[#This Row],[Sequestration rate Above ground]:[Sequestration rate, Soil]])</f>
        <v>4.3636363636363633</v>
      </c>
      <c r="W50" s="3" t="s">
        <v>86</v>
      </c>
      <c r="X50" s="3" t="s">
        <v>25</v>
      </c>
      <c r="Y50" s="8" t="s">
        <v>26</v>
      </c>
    </row>
    <row r="51" spans="1:25" ht="76.5" customHeight="1" x14ac:dyDescent="0.25">
      <c r="A51" s="10">
        <v>44</v>
      </c>
      <c r="B51" s="3" t="s">
        <v>67</v>
      </c>
      <c r="C51" s="3" t="s">
        <v>88</v>
      </c>
      <c r="E51" s="3" t="s">
        <v>37</v>
      </c>
      <c r="F51" s="3" t="s">
        <v>41</v>
      </c>
      <c r="H51" s="3">
        <v>1</v>
      </c>
      <c r="I51" s="4">
        <f>13*10</f>
        <v>130</v>
      </c>
      <c r="N51" s="5">
        <f>SUM(I51:M51)</f>
        <v>130</v>
      </c>
      <c r="W51" s="3" t="s">
        <v>89</v>
      </c>
      <c r="X51" s="3" t="s">
        <v>90</v>
      </c>
      <c r="Y51" s="8" t="s">
        <v>43</v>
      </c>
    </row>
    <row r="52" spans="1:25" ht="63" customHeight="1" x14ac:dyDescent="0.25">
      <c r="A52" s="10">
        <v>45</v>
      </c>
      <c r="B52" s="3" t="s">
        <v>67</v>
      </c>
      <c r="C52" s="3" t="s">
        <v>88</v>
      </c>
      <c r="D52" s="3" t="s">
        <v>91</v>
      </c>
      <c r="E52" s="3" t="s">
        <v>22</v>
      </c>
      <c r="M52" s="4">
        <v>70</v>
      </c>
      <c r="N52" s="5">
        <f>SUM(Table3[[#This Row],[Biomass Above Ground]:[ Soil carbon]])</f>
        <v>70</v>
      </c>
      <c r="O52" s="4" t="s">
        <v>23</v>
      </c>
      <c r="W52" s="3" t="s">
        <v>92</v>
      </c>
      <c r="X52" s="3" t="s">
        <v>25</v>
      </c>
      <c r="Y52" s="8" t="s">
        <v>26</v>
      </c>
    </row>
    <row r="53" spans="1:25" ht="63" customHeight="1" x14ac:dyDescent="0.25">
      <c r="A53" s="10">
        <v>46</v>
      </c>
      <c r="B53" s="3" t="s">
        <v>67</v>
      </c>
      <c r="C53" s="3" t="s">
        <v>88</v>
      </c>
      <c r="D53" s="3" t="s">
        <v>21</v>
      </c>
      <c r="E53" s="3" t="s">
        <v>22</v>
      </c>
      <c r="I53" s="4">
        <v>70</v>
      </c>
      <c r="M53" s="4">
        <v>70</v>
      </c>
      <c r="N53" s="5">
        <f>SUM(Table3[[#This Row],[Biomass Above Ground]:[ Soil carbon]])</f>
        <v>140</v>
      </c>
      <c r="O53" s="4" t="s">
        <v>23</v>
      </c>
      <c r="W53" s="3" t="s">
        <v>93</v>
      </c>
      <c r="X53" s="3" t="s">
        <v>25</v>
      </c>
      <c r="Y53" s="8" t="s">
        <v>26</v>
      </c>
    </row>
    <row r="54" spans="1:25" ht="54" customHeight="1" x14ac:dyDescent="0.25">
      <c r="A54" s="10">
        <v>47</v>
      </c>
      <c r="B54" s="3" t="s">
        <v>67</v>
      </c>
      <c r="C54" s="3" t="s">
        <v>94</v>
      </c>
      <c r="E54" s="3" t="s">
        <v>69</v>
      </c>
      <c r="H54" s="3" t="s">
        <v>95</v>
      </c>
      <c r="I54" s="4">
        <v>63</v>
      </c>
      <c r="N54" s="5">
        <f>SUM(I54:M54)</f>
        <v>63</v>
      </c>
      <c r="W54" s="3" t="s">
        <v>61</v>
      </c>
      <c r="Y54" s="29" t="s">
        <v>684</v>
      </c>
    </row>
    <row r="55" spans="1:25" ht="54" customHeight="1" x14ac:dyDescent="0.25">
      <c r="A55" s="10">
        <v>48</v>
      </c>
      <c r="B55" s="3" t="s">
        <v>67</v>
      </c>
      <c r="C55" s="3" t="s">
        <v>96</v>
      </c>
      <c r="D55" s="3" t="s">
        <v>97</v>
      </c>
      <c r="E55" s="3" t="s">
        <v>98</v>
      </c>
      <c r="I55" s="4">
        <v>126</v>
      </c>
      <c r="N55" s="5">
        <f>SUM(I55:M55)</f>
        <v>126</v>
      </c>
      <c r="W55" s="3" t="s">
        <v>73</v>
      </c>
      <c r="X55" s="3" t="s">
        <v>61</v>
      </c>
      <c r="Y55" s="29" t="s">
        <v>684</v>
      </c>
    </row>
    <row r="56" spans="1:25" ht="54" customHeight="1" x14ac:dyDescent="0.25">
      <c r="A56" s="10">
        <v>49</v>
      </c>
      <c r="B56" s="3" t="s">
        <v>67</v>
      </c>
      <c r="C56" s="3" t="s">
        <v>99</v>
      </c>
      <c r="D56" s="3" t="s">
        <v>100</v>
      </c>
      <c r="E56" s="3" t="s">
        <v>22</v>
      </c>
      <c r="M56" s="4">
        <v>63</v>
      </c>
      <c r="N56" s="5">
        <f>SUM(Table3[[#This Row],[Biomass Above Ground]:[ Soil carbon]])</f>
        <v>63</v>
      </c>
      <c r="O56" s="4" t="s">
        <v>23</v>
      </c>
      <c r="W56" s="3" t="s">
        <v>92</v>
      </c>
      <c r="X56" s="3" t="s">
        <v>25</v>
      </c>
      <c r="Y56" s="8" t="s">
        <v>26</v>
      </c>
    </row>
    <row r="57" spans="1:25" ht="55.5" customHeight="1" x14ac:dyDescent="0.25">
      <c r="A57" s="10">
        <v>50</v>
      </c>
      <c r="B57" s="3" t="s">
        <v>67</v>
      </c>
      <c r="C57" s="3" t="s">
        <v>99</v>
      </c>
      <c r="D57" s="3" t="s">
        <v>21</v>
      </c>
      <c r="E57" s="3" t="s">
        <v>22</v>
      </c>
      <c r="I57" s="4">
        <v>70</v>
      </c>
      <c r="M57" s="4">
        <v>63</v>
      </c>
      <c r="N57" s="5">
        <f>SUM(Table3[[#This Row],[Biomass Above Ground]:[ Soil carbon]])</f>
        <v>133</v>
      </c>
      <c r="O57" s="4" t="s">
        <v>23</v>
      </c>
      <c r="W57" s="3" t="s">
        <v>93</v>
      </c>
      <c r="X57" s="3" t="s">
        <v>25</v>
      </c>
      <c r="Y57" s="8" t="s">
        <v>26</v>
      </c>
    </row>
    <row r="58" spans="1:25" ht="30" x14ac:dyDescent="0.25">
      <c r="A58" s="10">
        <v>51</v>
      </c>
      <c r="B58" s="3" t="s">
        <v>67</v>
      </c>
      <c r="C58" s="3" t="s">
        <v>101</v>
      </c>
      <c r="D58" s="3" t="s">
        <v>102</v>
      </c>
      <c r="E58" s="3" t="s">
        <v>103</v>
      </c>
      <c r="F58" s="3" t="s">
        <v>41</v>
      </c>
      <c r="H58" s="3">
        <v>5</v>
      </c>
      <c r="I58" s="4">
        <f>9*10</f>
        <v>90</v>
      </c>
      <c r="N58" s="5">
        <f>SUM(I58:M58)</f>
        <v>90</v>
      </c>
      <c r="W58" s="3" t="s">
        <v>42</v>
      </c>
      <c r="Y58" s="8" t="s">
        <v>43</v>
      </c>
    </row>
    <row r="59" spans="1:25" ht="91.5" customHeight="1" x14ac:dyDescent="0.25">
      <c r="A59" s="10">
        <v>52</v>
      </c>
      <c r="B59" s="3" t="s">
        <v>67</v>
      </c>
      <c r="C59" s="3" t="s">
        <v>104</v>
      </c>
      <c r="D59" s="3" t="s">
        <v>105</v>
      </c>
      <c r="E59" s="3" t="s">
        <v>106</v>
      </c>
      <c r="H59" s="3">
        <v>12</v>
      </c>
      <c r="P59" s="3">
        <v>6.3</v>
      </c>
      <c r="U59" s="6">
        <f>SUM(P59:T59)</f>
        <v>6.3</v>
      </c>
      <c r="V59" s="3" t="s">
        <v>107</v>
      </c>
      <c r="W59" s="3" t="s">
        <v>61</v>
      </c>
      <c r="Y59" s="29" t="s">
        <v>684</v>
      </c>
    </row>
    <row r="60" spans="1:25" ht="60" x14ac:dyDescent="0.25">
      <c r="A60" s="10">
        <v>53</v>
      </c>
      <c r="B60" s="3" t="s">
        <v>67</v>
      </c>
      <c r="C60" s="3" t="s">
        <v>108</v>
      </c>
      <c r="D60" s="3" t="s">
        <v>109</v>
      </c>
      <c r="E60" s="3" t="s">
        <v>110</v>
      </c>
      <c r="M60" s="11">
        <v>35</v>
      </c>
      <c r="N60" s="5">
        <f>SUM(I60:M60)</f>
        <v>35</v>
      </c>
      <c r="W60" s="3" t="s">
        <v>61</v>
      </c>
      <c r="Y60" s="29" t="s">
        <v>684</v>
      </c>
    </row>
    <row r="61" spans="1:25" ht="60" x14ac:dyDescent="0.25">
      <c r="A61" s="10">
        <v>54</v>
      </c>
      <c r="B61" s="3" t="s">
        <v>67</v>
      </c>
      <c r="C61" s="3" t="s">
        <v>108</v>
      </c>
      <c r="D61" s="3" t="s">
        <v>109</v>
      </c>
      <c r="E61" s="3" t="s">
        <v>111</v>
      </c>
      <c r="M61" s="11">
        <v>80</v>
      </c>
      <c r="N61" s="5">
        <f>SUM(I61:M61)</f>
        <v>80</v>
      </c>
      <c r="W61" s="3" t="s">
        <v>61</v>
      </c>
      <c r="Y61" s="29" t="s">
        <v>684</v>
      </c>
    </row>
    <row r="62" spans="1:25" ht="60" x14ac:dyDescent="0.25">
      <c r="A62" s="10">
        <v>55</v>
      </c>
      <c r="B62" s="3" t="s">
        <v>67</v>
      </c>
      <c r="C62" s="3" t="s">
        <v>112</v>
      </c>
      <c r="D62" s="3" t="s">
        <v>109</v>
      </c>
      <c r="E62" s="3" t="s">
        <v>111</v>
      </c>
      <c r="I62" s="4">
        <v>80</v>
      </c>
      <c r="N62" s="5">
        <f>SUM(I62:M62)</f>
        <v>80</v>
      </c>
      <c r="W62" s="3" t="s">
        <v>61</v>
      </c>
      <c r="Y62" s="29" t="s">
        <v>684</v>
      </c>
    </row>
    <row r="63" spans="1:25" ht="45" x14ac:dyDescent="0.25">
      <c r="A63" s="10">
        <v>56</v>
      </c>
      <c r="B63" s="3" t="s">
        <v>67</v>
      </c>
      <c r="C63" s="3" t="s">
        <v>113</v>
      </c>
      <c r="D63" s="3" t="s">
        <v>113</v>
      </c>
      <c r="E63" s="3" t="s">
        <v>114</v>
      </c>
      <c r="H63" s="3">
        <v>6.5</v>
      </c>
      <c r="N63" s="5">
        <v>135</v>
      </c>
      <c r="W63" s="3" t="s">
        <v>61</v>
      </c>
      <c r="Y63" s="29" t="s">
        <v>684</v>
      </c>
    </row>
    <row r="64" spans="1:25" x14ac:dyDescent="0.25">
      <c r="A64" s="10">
        <v>57</v>
      </c>
      <c r="B64" s="3" t="s">
        <v>67</v>
      </c>
      <c r="C64" s="3" t="s">
        <v>115</v>
      </c>
      <c r="D64" s="3" t="s">
        <v>100</v>
      </c>
      <c r="E64" s="3" t="s">
        <v>28</v>
      </c>
      <c r="F64" s="3" t="s">
        <v>41</v>
      </c>
      <c r="I64" s="4">
        <v>81</v>
      </c>
      <c r="J64" s="3">
        <v>10</v>
      </c>
      <c r="K64" s="3">
        <v>18</v>
      </c>
      <c r="L64" s="3">
        <v>45</v>
      </c>
      <c r="M64" s="4">
        <v>47</v>
      </c>
      <c r="N64" s="5">
        <f t="shared" ref="N64:N70" si="2">SUM(I64:M64)</f>
        <v>201</v>
      </c>
      <c r="W64" s="3" t="s">
        <v>30</v>
      </c>
      <c r="Y64" s="29" t="s">
        <v>31</v>
      </c>
    </row>
    <row r="65" spans="1:26" x14ac:dyDescent="0.25">
      <c r="A65" s="10">
        <v>58</v>
      </c>
      <c r="B65" s="3" t="s">
        <v>67</v>
      </c>
      <c r="C65" s="3" t="s">
        <v>115</v>
      </c>
      <c r="D65" s="3" t="s">
        <v>100</v>
      </c>
      <c r="E65" s="3" t="s">
        <v>28</v>
      </c>
      <c r="I65" s="11">
        <v>81</v>
      </c>
      <c r="J65" s="3">
        <v>11</v>
      </c>
      <c r="L65" s="3">
        <v>35</v>
      </c>
      <c r="N65" s="5">
        <f t="shared" si="2"/>
        <v>127</v>
      </c>
      <c r="W65" s="3" t="s">
        <v>83</v>
      </c>
      <c r="Y65" s="8" t="s">
        <v>31</v>
      </c>
    </row>
    <row r="66" spans="1:26" ht="42" customHeight="1" x14ac:dyDescent="0.25">
      <c r="A66" s="10">
        <v>59</v>
      </c>
      <c r="B66" s="3" t="s">
        <v>67</v>
      </c>
      <c r="C66" s="3" t="s">
        <v>115</v>
      </c>
      <c r="D66" s="3" t="s">
        <v>100</v>
      </c>
      <c r="E66" s="3" t="s">
        <v>28</v>
      </c>
      <c r="I66" s="11"/>
      <c r="L66" s="3">
        <v>16</v>
      </c>
      <c r="M66" s="4">
        <v>94</v>
      </c>
      <c r="N66" s="5">
        <f t="shared" si="2"/>
        <v>110</v>
      </c>
      <c r="W66" s="3" t="s">
        <v>116</v>
      </c>
      <c r="Y66" s="8" t="s">
        <v>31</v>
      </c>
    </row>
    <row r="67" spans="1:26" ht="64.5" customHeight="1" x14ac:dyDescent="0.25">
      <c r="A67" s="10">
        <v>60</v>
      </c>
      <c r="B67" s="3" t="s">
        <v>67</v>
      </c>
      <c r="C67" s="3" t="s">
        <v>117</v>
      </c>
      <c r="D67" s="3" t="s">
        <v>91</v>
      </c>
      <c r="E67" s="3" t="s">
        <v>28</v>
      </c>
      <c r="F67" s="3" t="s">
        <v>41</v>
      </c>
      <c r="I67" s="4">
        <v>44</v>
      </c>
      <c r="J67" s="3">
        <v>11</v>
      </c>
      <c r="K67" s="3">
        <v>12</v>
      </c>
      <c r="L67" s="3">
        <v>35</v>
      </c>
      <c r="M67" s="4">
        <v>74.5</v>
      </c>
      <c r="N67" s="5">
        <f t="shared" si="2"/>
        <v>176.5</v>
      </c>
      <c r="W67" s="3" t="s">
        <v>30</v>
      </c>
      <c r="Y67" s="29" t="s">
        <v>31</v>
      </c>
      <c r="Z67" s="8" t="s">
        <v>604</v>
      </c>
    </row>
    <row r="68" spans="1:26" x14ac:dyDescent="0.25">
      <c r="A68" s="10">
        <v>61</v>
      </c>
      <c r="B68" s="3" t="s">
        <v>67</v>
      </c>
      <c r="C68" s="3" t="s">
        <v>117</v>
      </c>
      <c r="D68" s="3" t="s">
        <v>91</v>
      </c>
      <c r="E68" s="3" t="s">
        <v>28</v>
      </c>
      <c r="I68" s="11">
        <v>44</v>
      </c>
      <c r="J68" s="3">
        <v>10</v>
      </c>
      <c r="L68" s="3">
        <v>45</v>
      </c>
      <c r="N68" s="5">
        <f t="shared" si="2"/>
        <v>99</v>
      </c>
      <c r="W68" s="3" t="s">
        <v>83</v>
      </c>
      <c r="Y68" s="8" t="s">
        <v>31</v>
      </c>
    </row>
    <row r="69" spans="1:26" x14ac:dyDescent="0.25">
      <c r="A69" s="10">
        <v>62</v>
      </c>
      <c r="B69" s="3" t="s">
        <v>67</v>
      </c>
      <c r="C69" s="3" t="s">
        <v>117</v>
      </c>
      <c r="D69" s="3" t="s">
        <v>91</v>
      </c>
      <c r="E69" s="3" t="s">
        <v>28</v>
      </c>
      <c r="I69" s="11"/>
      <c r="L69" s="3">
        <v>18</v>
      </c>
      <c r="M69" s="4">
        <v>74</v>
      </c>
      <c r="N69" s="5">
        <f t="shared" si="2"/>
        <v>92</v>
      </c>
      <c r="W69" s="3" t="s">
        <v>116</v>
      </c>
      <c r="Y69" s="8" t="s">
        <v>31</v>
      </c>
    </row>
    <row r="70" spans="1:26" x14ac:dyDescent="0.25">
      <c r="A70" s="10">
        <v>63</v>
      </c>
      <c r="B70" s="3" t="s">
        <v>67</v>
      </c>
      <c r="C70" s="3" t="s">
        <v>38</v>
      </c>
      <c r="D70" s="3" t="s">
        <v>32</v>
      </c>
      <c r="E70" s="3" t="s">
        <v>118</v>
      </c>
      <c r="F70" s="3" t="s">
        <v>41</v>
      </c>
      <c r="I70" s="4">
        <v>90</v>
      </c>
      <c r="M70" s="4">
        <v>71</v>
      </c>
      <c r="N70" s="5">
        <f t="shared" si="2"/>
        <v>161</v>
      </c>
      <c r="P70" s="3">
        <v>0.61</v>
      </c>
      <c r="T70" s="3">
        <v>0.61</v>
      </c>
      <c r="U70" s="6">
        <f>SUM(P70:T70)</f>
        <v>1.22</v>
      </c>
      <c r="W70" s="3" t="s">
        <v>119</v>
      </c>
      <c r="Y70" s="8" t="s">
        <v>120</v>
      </c>
    </row>
    <row r="71" spans="1:26" ht="180.75" customHeight="1" x14ac:dyDescent="0.25">
      <c r="A71" s="10">
        <v>64</v>
      </c>
      <c r="B71" s="3" t="s">
        <v>67</v>
      </c>
      <c r="C71" s="3" t="s">
        <v>38</v>
      </c>
      <c r="D71" s="3" t="s">
        <v>32</v>
      </c>
      <c r="E71" s="3" t="s">
        <v>118</v>
      </c>
      <c r="I71" s="4">
        <v>119.16</v>
      </c>
      <c r="K71" s="3">
        <v>3.3780000000000001</v>
      </c>
      <c r="L71" s="3">
        <v>30.41</v>
      </c>
      <c r="M71" s="4">
        <v>128.03</v>
      </c>
      <c r="N71" s="5">
        <f>SUM(Table3[[#This Row],[Biomass Above Ground]:[ Soil carbon]])</f>
        <v>280.97800000000001</v>
      </c>
      <c r="P71" s="3">
        <v>0.14399999999999999</v>
      </c>
      <c r="R71" s="3">
        <v>0</v>
      </c>
      <c r="S71" s="3">
        <v>6.08</v>
      </c>
      <c r="T71" s="3">
        <v>0.03</v>
      </c>
      <c r="U71" s="6">
        <f>SUM(Table3[[#This Row],[Sequestration rate Above ground]:[Sequestration rate, Soil]])</f>
        <v>6.2540000000000004</v>
      </c>
      <c r="W71" s="3" t="s">
        <v>121</v>
      </c>
      <c r="Y71" s="8" t="s">
        <v>688</v>
      </c>
    </row>
    <row r="72" spans="1:26" ht="195.75" customHeight="1" x14ac:dyDescent="0.25">
      <c r="A72" s="10">
        <v>65</v>
      </c>
      <c r="B72" s="3" t="s">
        <v>67</v>
      </c>
      <c r="C72" s="3" t="s">
        <v>38</v>
      </c>
      <c r="D72" s="3" t="s">
        <v>32</v>
      </c>
      <c r="E72" s="3" t="s">
        <v>122</v>
      </c>
      <c r="I72" s="4">
        <v>112.15</v>
      </c>
      <c r="K72" s="3">
        <v>4.1900000000000004</v>
      </c>
      <c r="L72" s="3">
        <v>29.15</v>
      </c>
      <c r="M72" s="4">
        <v>116.61</v>
      </c>
      <c r="N72" s="5">
        <f>SUM(Table3[[#This Row],[Biomass Above Ground]:[ Soil carbon]])</f>
        <v>262.10000000000002</v>
      </c>
      <c r="P72" s="3">
        <v>0.61</v>
      </c>
      <c r="R72" s="3">
        <v>0.04</v>
      </c>
      <c r="S72" s="3">
        <v>5.83</v>
      </c>
      <c r="T72" s="3">
        <v>0.01</v>
      </c>
      <c r="U72" s="6">
        <f>SUM(Table3[[#This Row],[Sequestration rate Above ground]:[Sequestration rate, Soil]])</f>
        <v>6.49</v>
      </c>
      <c r="W72" s="3" t="s">
        <v>121</v>
      </c>
      <c r="Y72" s="8" t="s">
        <v>688</v>
      </c>
    </row>
    <row r="73" spans="1:26" ht="96.75" customHeight="1" x14ac:dyDescent="0.25">
      <c r="A73" s="10">
        <v>66</v>
      </c>
      <c r="B73" s="3" t="s">
        <v>67</v>
      </c>
      <c r="C73" s="3" t="s">
        <v>38</v>
      </c>
      <c r="D73" s="3" t="s">
        <v>32</v>
      </c>
      <c r="E73" s="3" t="s">
        <v>122</v>
      </c>
      <c r="F73" s="3" t="s">
        <v>41</v>
      </c>
      <c r="I73" s="4">
        <v>54</v>
      </c>
      <c r="M73" s="4">
        <v>42</v>
      </c>
      <c r="N73" s="5">
        <f>SUM(I73:M73)</f>
        <v>96</v>
      </c>
      <c r="P73" s="3">
        <v>0.74</v>
      </c>
      <c r="T73" s="3">
        <v>0.24</v>
      </c>
      <c r="U73" s="6">
        <f>SUM(P73:T73)</f>
        <v>0.98</v>
      </c>
      <c r="W73" s="3" t="s">
        <v>119</v>
      </c>
      <c r="Y73" s="8" t="s">
        <v>120</v>
      </c>
    </row>
    <row r="74" spans="1:26" ht="46.5" customHeight="1" x14ac:dyDescent="0.25">
      <c r="A74" s="10">
        <v>67</v>
      </c>
      <c r="B74" s="3" t="s">
        <v>67</v>
      </c>
      <c r="C74" s="3" t="s">
        <v>38</v>
      </c>
      <c r="D74" s="3" t="s">
        <v>32</v>
      </c>
      <c r="E74" s="3" t="s">
        <v>637</v>
      </c>
      <c r="I74" s="4">
        <v>81.3</v>
      </c>
      <c r="K74" s="3">
        <v>4.6100000000000003</v>
      </c>
      <c r="L74" s="3">
        <v>20.68</v>
      </c>
      <c r="M74" s="4">
        <v>112.95</v>
      </c>
      <c r="N74" s="5">
        <f>SUM(Table3[[#This Row],[Biomass Above Ground]:[ Soil carbon]])</f>
        <v>219.54000000000002</v>
      </c>
      <c r="P74" s="3">
        <v>0.57999999999999996</v>
      </c>
      <c r="R74" s="3">
        <v>0.01</v>
      </c>
      <c r="S74" s="3">
        <v>4.1399999999999997</v>
      </c>
      <c r="T74" s="3">
        <v>0.2</v>
      </c>
      <c r="U74" s="6">
        <f>SUM(Table3[[#This Row],[Sequestration rate Above ground]:[Sequestration rate, Soil]])</f>
        <v>4.93</v>
      </c>
      <c r="V74" s="3">
        <f>7.55/Table3[[#This Row],[Sequestration rate, Litter]]</f>
        <v>1.8236714975845412</v>
      </c>
      <c r="W74" s="3" t="s">
        <v>121</v>
      </c>
      <c r="Y74" s="8" t="s">
        <v>688</v>
      </c>
    </row>
    <row r="75" spans="1:26" ht="114.75" customHeight="1" x14ac:dyDescent="0.25">
      <c r="A75" s="10">
        <v>68</v>
      </c>
      <c r="B75" s="3" t="s">
        <v>67</v>
      </c>
      <c r="C75" s="3" t="s">
        <v>38</v>
      </c>
      <c r="D75" s="3" t="s">
        <v>32</v>
      </c>
      <c r="E75" s="3" t="s">
        <v>59</v>
      </c>
      <c r="G75" s="13"/>
      <c r="H75" s="13">
        <v>1135</v>
      </c>
      <c r="I75" s="4">
        <f>54/($H75*10^6)*(10^12)/10000*10</f>
        <v>47.577092511013213</v>
      </c>
      <c r="K75" s="4">
        <f>16/(H75*10^6)*(10^12)/10000*10</f>
        <v>14.096916299559473</v>
      </c>
      <c r="M75" s="4">
        <f>193/(H75*10^6)*(10^12)/10000*10</f>
        <v>170.04405286343612</v>
      </c>
      <c r="N75" s="5">
        <f>272/(H75*10^6)*(10^12)/10^4*10</f>
        <v>239.64757709251103</v>
      </c>
      <c r="W75" s="3" t="s">
        <v>690</v>
      </c>
      <c r="X75" s="3" t="s">
        <v>123</v>
      </c>
      <c r="Y75" s="29" t="s">
        <v>691</v>
      </c>
    </row>
    <row r="76" spans="1:26" ht="80.25" customHeight="1" x14ac:dyDescent="0.25">
      <c r="A76" s="10">
        <v>69</v>
      </c>
      <c r="B76" s="3" t="s">
        <v>67</v>
      </c>
      <c r="C76" s="3" t="s">
        <v>38</v>
      </c>
      <c r="D76" s="3" t="s">
        <v>32</v>
      </c>
      <c r="E76" s="14" t="s">
        <v>124</v>
      </c>
      <c r="F76" s="3" t="s">
        <v>41</v>
      </c>
      <c r="I76" s="4">
        <v>75</v>
      </c>
      <c r="M76" s="4">
        <v>54</v>
      </c>
      <c r="N76" s="5">
        <f>SUM(I76:M76)</f>
        <v>129</v>
      </c>
      <c r="P76" s="3">
        <v>0.67</v>
      </c>
      <c r="T76" s="3">
        <v>0.55000000000000004</v>
      </c>
      <c r="U76" s="6">
        <f>SUM(P76:T76)</f>
        <v>1.2200000000000002</v>
      </c>
      <c r="W76" s="3" t="s">
        <v>119</v>
      </c>
      <c r="Y76" s="8" t="s">
        <v>120</v>
      </c>
    </row>
    <row r="77" spans="1:26" ht="49.5" customHeight="1" x14ac:dyDescent="0.25">
      <c r="A77" s="10">
        <v>70</v>
      </c>
      <c r="B77" s="3" t="s">
        <v>67</v>
      </c>
      <c r="C77" s="3" t="s">
        <v>38</v>
      </c>
      <c r="D77" s="3" t="s">
        <v>32</v>
      </c>
      <c r="E77" s="3" t="s">
        <v>125</v>
      </c>
      <c r="I77" s="4">
        <v>125</v>
      </c>
      <c r="K77" s="3">
        <v>2.9</v>
      </c>
      <c r="L77" s="3">
        <v>29.28</v>
      </c>
      <c r="M77" s="4">
        <v>133.6</v>
      </c>
      <c r="N77" s="5">
        <f>SUM(Table3[[#This Row],[Biomass Above Ground]:[ Soil carbon]])</f>
        <v>290.77999999999997</v>
      </c>
      <c r="P77" s="3">
        <v>0.9</v>
      </c>
      <c r="R77" s="3">
        <v>0</v>
      </c>
      <c r="S77" s="3">
        <v>5.86</v>
      </c>
      <c r="T77" s="3">
        <v>0.08</v>
      </c>
      <c r="U77" s="6">
        <f>SUM(Table3[[#This Row],[Sequestration rate Above ground]:[Sequestration rate, Soil]])</f>
        <v>6.8400000000000007</v>
      </c>
      <c r="W77" s="3" t="s">
        <v>121</v>
      </c>
      <c r="Y77" s="8" t="s">
        <v>688</v>
      </c>
    </row>
    <row r="78" spans="1:26" ht="93" customHeight="1" x14ac:dyDescent="0.25">
      <c r="A78" s="10">
        <v>71</v>
      </c>
      <c r="B78" s="3" t="s">
        <v>67</v>
      </c>
      <c r="C78" s="3" t="s">
        <v>38</v>
      </c>
      <c r="D78" s="3" t="s">
        <v>32</v>
      </c>
      <c r="E78" s="3" t="s">
        <v>126</v>
      </c>
      <c r="I78" s="4">
        <v>190.14</v>
      </c>
      <c r="K78" s="3">
        <v>8.92</v>
      </c>
      <c r="L78" s="3">
        <v>37.729999999999997</v>
      </c>
      <c r="M78" s="4">
        <v>143.47999999999999</v>
      </c>
      <c r="N78" s="5">
        <f>SUM(Table3[[#This Row],[Biomass Above Ground]:[ Soil carbon]])</f>
        <v>380.27</v>
      </c>
      <c r="P78" s="3">
        <v>1.6</v>
      </c>
      <c r="R78" s="3">
        <v>0.04</v>
      </c>
      <c r="S78" s="3">
        <v>7.55</v>
      </c>
      <c r="T78" s="3">
        <v>7.0000000000000007E-2</v>
      </c>
      <c r="U78" s="6">
        <f>SUM(Table3[[#This Row],[Sequestration rate Above ground]:[Sequestration rate, Soil]])</f>
        <v>9.26</v>
      </c>
      <c r="W78" s="3" t="s">
        <v>121</v>
      </c>
      <c r="Y78" s="8" t="s">
        <v>688</v>
      </c>
    </row>
    <row r="79" spans="1:26" ht="182.25" customHeight="1" x14ac:dyDescent="0.25">
      <c r="A79" s="10">
        <v>72</v>
      </c>
      <c r="B79" s="3" t="s">
        <v>67</v>
      </c>
      <c r="C79" s="3" t="s">
        <v>38</v>
      </c>
      <c r="D79" s="3" t="s">
        <v>32</v>
      </c>
      <c r="E79" s="3" t="s">
        <v>127</v>
      </c>
      <c r="F79" s="3" t="s">
        <v>41</v>
      </c>
      <c r="I79" s="4">
        <v>52</v>
      </c>
      <c r="M79" s="4">
        <v>62</v>
      </c>
      <c r="N79" s="5">
        <f>SUM(I79:M79)</f>
        <v>114</v>
      </c>
      <c r="P79" s="3">
        <v>1.08</v>
      </c>
      <c r="T79" s="3">
        <v>0.34</v>
      </c>
      <c r="U79" s="6">
        <f>SUM(P79:T79)</f>
        <v>1.4200000000000002</v>
      </c>
      <c r="W79" s="3" t="s">
        <v>128</v>
      </c>
      <c r="Y79" s="8" t="s">
        <v>120</v>
      </c>
    </row>
    <row r="80" spans="1:26" ht="54.75" customHeight="1" x14ac:dyDescent="0.25">
      <c r="A80" s="10">
        <v>73</v>
      </c>
      <c r="B80" s="3" t="s">
        <v>67</v>
      </c>
      <c r="C80" s="3" t="s">
        <v>38</v>
      </c>
      <c r="D80" s="3" t="s">
        <v>32</v>
      </c>
      <c r="E80" s="3" t="s">
        <v>127</v>
      </c>
      <c r="I80" s="4">
        <v>113.79</v>
      </c>
      <c r="K80" s="3">
        <v>2.44</v>
      </c>
      <c r="L80" s="3">
        <v>30.95</v>
      </c>
      <c r="M80" s="4">
        <v>109.7</v>
      </c>
      <c r="N80" s="5">
        <f>SUM(Table3[[#This Row],[Biomass Above Ground]:[ Soil carbon]])</f>
        <v>256.88</v>
      </c>
      <c r="P80" s="3">
        <v>1.75</v>
      </c>
      <c r="R80" s="3">
        <v>0.03</v>
      </c>
      <c r="S80" s="3">
        <v>6.19</v>
      </c>
      <c r="T80" s="3">
        <v>0.35</v>
      </c>
      <c r="U80" s="6">
        <f>SUM(Table3[[#This Row],[Sequestration rate Above ground]:[Sequestration rate, Soil]])</f>
        <v>8.32</v>
      </c>
      <c r="W80" s="3" t="s">
        <v>121</v>
      </c>
      <c r="Y80" s="8" t="s">
        <v>688</v>
      </c>
    </row>
    <row r="81" spans="1:25" x14ac:dyDescent="0.25">
      <c r="A81" s="10">
        <v>74</v>
      </c>
      <c r="B81" s="3" t="s">
        <v>67</v>
      </c>
      <c r="C81" s="3" t="s">
        <v>38</v>
      </c>
      <c r="D81" s="3" t="s">
        <v>32</v>
      </c>
      <c r="E81" s="3" t="s">
        <v>129</v>
      </c>
      <c r="I81" s="4">
        <v>89.1</v>
      </c>
      <c r="K81" s="3">
        <v>5.93</v>
      </c>
      <c r="L81" s="3">
        <v>23.29</v>
      </c>
      <c r="M81" s="4">
        <v>98.78</v>
      </c>
      <c r="N81" s="5">
        <f>SUM(Table3[[#This Row],[Biomass Above Ground]:[ Soil carbon]])</f>
        <v>217.1</v>
      </c>
      <c r="P81" s="3">
        <v>0.66</v>
      </c>
      <c r="R81" s="3">
        <v>0.05</v>
      </c>
      <c r="S81" s="3">
        <v>4.66</v>
      </c>
      <c r="T81" s="3">
        <v>0.15</v>
      </c>
      <c r="U81" s="6">
        <f>SUM(Table3[[#This Row],[Sequestration rate Above ground]:[Sequestration rate, Soil]])</f>
        <v>5.5200000000000005</v>
      </c>
      <c r="W81" s="3" t="s">
        <v>121</v>
      </c>
      <c r="Y81" s="9" t="s">
        <v>688</v>
      </c>
    </row>
    <row r="82" spans="1:25" x14ac:dyDescent="0.25">
      <c r="A82" s="10">
        <v>75</v>
      </c>
      <c r="B82" s="3" t="s">
        <v>67</v>
      </c>
      <c r="C82" s="3" t="s">
        <v>38</v>
      </c>
      <c r="D82" s="3" t="s">
        <v>32</v>
      </c>
      <c r="E82" s="14" t="s">
        <v>33</v>
      </c>
      <c r="F82" s="3" t="s">
        <v>41</v>
      </c>
      <c r="I82" s="4">
        <v>35</v>
      </c>
      <c r="M82" s="4">
        <v>36</v>
      </c>
      <c r="N82" s="5">
        <f>SUM(I82:M82)</f>
        <v>71</v>
      </c>
      <c r="P82" s="3">
        <v>0.39</v>
      </c>
      <c r="T82" s="3">
        <v>0.19</v>
      </c>
      <c r="U82" s="6">
        <f>SUM(P82:T82)</f>
        <v>0.58000000000000007</v>
      </c>
      <c r="W82" s="3" t="s">
        <v>119</v>
      </c>
      <c r="Y82" s="8" t="s">
        <v>120</v>
      </c>
    </row>
    <row r="83" spans="1:25" x14ac:dyDescent="0.25">
      <c r="A83" s="10">
        <v>76</v>
      </c>
      <c r="B83" s="3" t="s">
        <v>67</v>
      </c>
      <c r="C83" s="3" t="s">
        <v>38</v>
      </c>
      <c r="D83" s="3" t="s">
        <v>32</v>
      </c>
      <c r="E83" s="3" t="s">
        <v>130</v>
      </c>
      <c r="I83" s="4">
        <v>48.9</v>
      </c>
      <c r="K83" s="3">
        <v>1.41</v>
      </c>
      <c r="L83" s="3">
        <v>14.14</v>
      </c>
      <c r="M83" s="4">
        <v>78.17</v>
      </c>
      <c r="N83" s="5">
        <f>SUM(Table3[[#This Row],[Biomass Above Ground]:[ Soil carbon]])</f>
        <v>142.62</v>
      </c>
      <c r="P83" s="3">
        <v>0.56999999999999995</v>
      </c>
      <c r="R83" s="3">
        <v>0</v>
      </c>
      <c r="S83" s="3">
        <v>3.14</v>
      </c>
      <c r="T83" s="3">
        <v>0.16</v>
      </c>
      <c r="U83" s="6">
        <f>SUM(Table3[[#This Row],[Sequestration rate Above ground]:[Sequestration rate, Soil]])</f>
        <v>3.87</v>
      </c>
      <c r="V83" s="3">
        <f>7.55/Table3[[#This Row],[Sequestration rate, Litter]]</f>
        <v>2.4044585987261144</v>
      </c>
      <c r="W83" s="3" t="s">
        <v>121</v>
      </c>
      <c r="Y83" s="3" t="s">
        <v>688</v>
      </c>
    </row>
    <row r="84" spans="1:25" x14ac:dyDescent="0.25">
      <c r="A84" s="10">
        <v>77</v>
      </c>
      <c r="B84" s="3" t="s">
        <v>67</v>
      </c>
      <c r="C84" s="3" t="s">
        <v>38</v>
      </c>
      <c r="D84" s="3" t="s">
        <v>32</v>
      </c>
      <c r="E84" s="3" t="s">
        <v>130</v>
      </c>
      <c r="F84" s="3" t="s">
        <v>41</v>
      </c>
      <c r="I84" s="4">
        <v>26</v>
      </c>
      <c r="M84" s="4">
        <v>48</v>
      </c>
      <c r="N84" s="5">
        <f>SUM(I84:M84)</f>
        <v>74</v>
      </c>
      <c r="P84" s="3">
        <v>0.22</v>
      </c>
      <c r="T84" s="3">
        <v>0.08</v>
      </c>
      <c r="U84" s="6">
        <f>SUM(P84:T84)</f>
        <v>0.3</v>
      </c>
      <c r="W84" s="3" t="s">
        <v>119</v>
      </c>
      <c r="Y84" s="8" t="s">
        <v>120</v>
      </c>
    </row>
    <row r="85" spans="1:25" x14ac:dyDescent="0.25">
      <c r="A85" s="10">
        <v>78</v>
      </c>
      <c r="B85" s="3" t="s">
        <v>67</v>
      </c>
      <c r="C85" s="3" t="s">
        <v>38</v>
      </c>
      <c r="D85" s="3" t="s">
        <v>32</v>
      </c>
      <c r="E85" s="3" t="s">
        <v>131</v>
      </c>
      <c r="I85" s="4">
        <v>76.98</v>
      </c>
      <c r="K85" s="3">
        <v>2.67</v>
      </c>
      <c r="L85" s="3">
        <v>20.14</v>
      </c>
      <c r="M85" s="4">
        <v>79.7</v>
      </c>
      <c r="N85" s="5">
        <f>SUM(Table3[[#This Row],[Biomass Above Ground]:[ Soil carbon]])</f>
        <v>179.49</v>
      </c>
      <c r="P85" s="3">
        <v>0.63</v>
      </c>
      <c r="R85" s="3">
        <v>0.03</v>
      </c>
      <c r="S85" s="3">
        <v>4.03</v>
      </c>
      <c r="T85" s="3">
        <v>0.08</v>
      </c>
      <c r="U85" s="6">
        <f>SUM(Table3[[#This Row],[Sequestration rate Above ground]:[Sequestration rate, Soil]])</f>
        <v>4.7700000000000005</v>
      </c>
      <c r="V85" s="3">
        <f>7.55/Table3[[#This Row],[Sequestration rate, Litter]]</f>
        <v>1.8734491315136474</v>
      </c>
      <c r="W85" s="3" t="s">
        <v>121</v>
      </c>
      <c r="Y85" s="8" t="s">
        <v>688</v>
      </c>
    </row>
    <row r="86" spans="1:25" x14ac:dyDescent="0.25">
      <c r="A86" s="10">
        <v>79</v>
      </c>
      <c r="B86" s="3" t="s">
        <v>67</v>
      </c>
      <c r="C86" s="3" t="s">
        <v>38</v>
      </c>
      <c r="D86" s="3" t="s">
        <v>32</v>
      </c>
      <c r="E86" s="3" t="s">
        <v>131</v>
      </c>
      <c r="F86" s="3" t="s">
        <v>41</v>
      </c>
      <c r="I86" s="4">
        <v>52</v>
      </c>
      <c r="M86" s="4">
        <v>35</v>
      </c>
      <c r="N86" s="5">
        <f>SUM(I86:M86)</f>
        <v>87</v>
      </c>
      <c r="P86" s="3">
        <v>0.55000000000000004</v>
      </c>
      <c r="T86" s="3">
        <v>0.33</v>
      </c>
      <c r="U86" s="6">
        <f>SUM(P86:T86)</f>
        <v>0.88000000000000012</v>
      </c>
      <c r="W86" s="3" t="s">
        <v>119</v>
      </c>
      <c r="Y86" s="8" t="s">
        <v>120</v>
      </c>
    </row>
    <row r="87" spans="1:25" x14ac:dyDescent="0.25">
      <c r="A87" s="10">
        <v>80</v>
      </c>
      <c r="B87" s="3" t="s">
        <v>67</v>
      </c>
      <c r="C87" s="3" t="s">
        <v>38</v>
      </c>
      <c r="D87" s="3" t="s">
        <v>32</v>
      </c>
      <c r="E87" s="3" t="s">
        <v>132</v>
      </c>
      <c r="I87" s="4">
        <v>147</v>
      </c>
      <c r="K87" s="3">
        <v>1.73</v>
      </c>
      <c r="L87" s="3">
        <v>33.29</v>
      </c>
      <c r="M87" s="4">
        <v>144.65</v>
      </c>
      <c r="N87" s="5">
        <f>SUM(Table3[[#This Row],[Biomass Above Ground]:[ Soil carbon]])</f>
        <v>326.66999999999996</v>
      </c>
      <c r="P87" s="3">
        <v>0.88</v>
      </c>
      <c r="R87" s="3">
        <v>0</v>
      </c>
      <c r="S87" s="3">
        <v>6.66</v>
      </c>
      <c r="T87" s="3">
        <v>0</v>
      </c>
      <c r="U87" s="6">
        <f>SUM(Table3[[#This Row],[Sequestration rate Above ground]:[Sequestration rate, Soil]])</f>
        <v>7.54</v>
      </c>
      <c r="W87" s="3" t="s">
        <v>121</v>
      </c>
      <c r="Y87" s="8" t="s">
        <v>688</v>
      </c>
    </row>
    <row r="88" spans="1:25" x14ac:dyDescent="0.25">
      <c r="A88" s="10">
        <v>81</v>
      </c>
      <c r="B88" s="3" t="s">
        <v>67</v>
      </c>
      <c r="C88" s="3" t="s">
        <v>38</v>
      </c>
      <c r="D88" s="3" t="s">
        <v>32</v>
      </c>
      <c r="E88" s="3" t="s">
        <v>132</v>
      </c>
      <c r="F88" s="3" t="s">
        <v>41</v>
      </c>
      <c r="I88" s="4">
        <v>93</v>
      </c>
      <c r="M88" s="4">
        <v>68</v>
      </c>
      <c r="N88" s="5">
        <f>SUM(I88:M88)</f>
        <v>161</v>
      </c>
      <c r="P88" s="3">
        <v>0.88</v>
      </c>
      <c r="T88" s="3">
        <v>0.84</v>
      </c>
      <c r="U88" s="6">
        <f>SUM(P88:T88)</f>
        <v>1.72</v>
      </c>
      <c r="W88" s="3" t="s">
        <v>119</v>
      </c>
      <c r="Y88" s="8" t="s">
        <v>120</v>
      </c>
    </row>
    <row r="89" spans="1:25" x14ac:dyDescent="0.25">
      <c r="A89" s="10">
        <v>82</v>
      </c>
      <c r="B89" s="3" t="s">
        <v>67</v>
      </c>
      <c r="C89" s="3" t="s">
        <v>38</v>
      </c>
      <c r="D89" s="3" t="s">
        <v>32</v>
      </c>
      <c r="E89" s="3" t="s">
        <v>133</v>
      </c>
      <c r="I89" s="4">
        <v>18.62</v>
      </c>
      <c r="K89" s="3">
        <v>0</v>
      </c>
      <c r="L89" s="3">
        <v>4.26</v>
      </c>
      <c r="M89" s="4">
        <v>37.94</v>
      </c>
      <c r="N89" s="5">
        <f>SUM(Table3[[#This Row],[Biomass Above Ground]:[ Soil carbon]])</f>
        <v>60.82</v>
      </c>
      <c r="P89" s="3">
        <v>0.04</v>
      </c>
      <c r="R89" s="3">
        <v>0</v>
      </c>
      <c r="S89" s="3">
        <v>0.85</v>
      </c>
      <c r="T89" s="3">
        <v>0.02</v>
      </c>
      <c r="U89" s="6">
        <f>SUM(Table3[[#This Row],[Sequestration rate Above ground]:[Sequestration rate, Soil]])</f>
        <v>0.91</v>
      </c>
      <c r="V89" s="3">
        <f>7.55/Table3[[#This Row],[Sequestration rate, Litter]]</f>
        <v>8.882352941176471</v>
      </c>
      <c r="W89" s="3" t="s">
        <v>121</v>
      </c>
      <c r="Y89" s="3" t="s">
        <v>688</v>
      </c>
    </row>
    <row r="90" spans="1:25" x14ac:dyDescent="0.25">
      <c r="A90" s="10">
        <v>83</v>
      </c>
      <c r="B90" s="3" t="s">
        <v>67</v>
      </c>
      <c r="C90" s="3" t="s">
        <v>38</v>
      </c>
      <c r="D90" s="3" t="s">
        <v>32</v>
      </c>
      <c r="E90" s="3" t="s">
        <v>133</v>
      </c>
      <c r="F90" s="3" t="s">
        <v>41</v>
      </c>
      <c r="I90" s="4">
        <v>11</v>
      </c>
      <c r="M90" s="4">
        <v>8</v>
      </c>
      <c r="N90" s="5">
        <f>SUM(I90:M90)</f>
        <v>19</v>
      </c>
      <c r="P90" s="3">
        <v>0.01</v>
      </c>
      <c r="T90" s="3">
        <v>0.01</v>
      </c>
      <c r="U90" s="6">
        <f>SUM(P90:T90)</f>
        <v>0.02</v>
      </c>
      <c r="W90" s="3" t="s">
        <v>119</v>
      </c>
      <c r="Y90" s="8" t="s">
        <v>120</v>
      </c>
    </row>
    <row r="91" spans="1:25" x14ac:dyDescent="0.25">
      <c r="A91" s="10">
        <v>84</v>
      </c>
      <c r="B91" s="3" t="s">
        <v>67</v>
      </c>
      <c r="C91" s="3" t="s">
        <v>38</v>
      </c>
      <c r="D91" s="3" t="s">
        <v>32</v>
      </c>
      <c r="E91" s="3" t="s">
        <v>636</v>
      </c>
      <c r="I91" s="4">
        <v>54.1</v>
      </c>
      <c r="K91" s="3">
        <v>0.89</v>
      </c>
      <c r="L91" s="3">
        <v>13.92</v>
      </c>
      <c r="M91" s="4">
        <v>46.54</v>
      </c>
      <c r="N91" s="5">
        <f>SUM(Table3[[#This Row],[Biomass Above Ground]:[ Soil carbon]])</f>
        <v>115.44999999999999</v>
      </c>
      <c r="P91" s="3">
        <v>0.34</v>
      </c>
      <c r="R91" s="3">
        <v>0</v>
      </c>
      <c r="S91" s="3">
        <v>2.78</v>
      </c>
      <c r="T91" s="3">
        <v>0.1</v>
      </c>
      <c r="U91" s="6">
        <f>SUM(Table3[[#This Row],[Sequestration rate Above ground]:[Sequestration rate, Soil]])</f>
        <v>3.2199999999999998</v>
      </c>
      <c r="W91" s="3" t="s">
        <v>121</v>
      </c>
      <c r="Y91" s="3" t="s">
        <v>688</v>
      </c>
    </row>
    <row r="92" spans="1:25" x14ac:dyDescent="0.25">
      <c r="A92" s="10">
        <v>85</v>
      </c>
      <c r="B92" s="3" t="s">
        <v>67</v>
      </c>
      <c r="C92" s="3" t="s">
        <v>38</v>
      </c>
      <c r="D92" s="3" t="s">
        <v>32</v>
      </c>
      <c r="E92" s="3" t="s">
        <v>134</v>
      </c>
      <c r="I92" s="4">
        <v>90.18</v>
      </c>
      <c r="K92" s="3">
        <v>3.67</v>
      </c>
      <c r="L92" s="3">
        <v>26.1</v>
      </c>
      <c r="M92" s="4">
        <v>122.9</v>
      </c>
      <c r="N92" s="5">
        <f>SUM(Table3[[#This Row],[Biomass Above Ground]:[ Soil carbon]])</f>
        <v>242.85000000000002</v>
      </c>
      <c r="P92" s="3">
        <v>0.63</v>
      </c>
      <c r="R92" s="3">
        <v>0.01</v>
      </c>
      <c r="S92" s="3">
        <v>5.22</v>
      </c>
      <c r="T92" s="3">
        <v>0.15</v>
      </c>
      <c r="U92" s="6">
        <f>SUM(Table3[[#This Row],[Sequestration rate Above ground]:[Sequestration rate, Soil]])</f>
        <v>6.01</v>
      </c>
      <c r="W92" s="3" t="s">
        <v>121</v>
      </c>
      <c r="Y92" s="8" t="s">
        <v>688</v>
      </c>
    </row>
    <row r="93" spans="1:25" x14ac:dyDescent="0.25">
      <c r="A93" s="10">
        <v>86</v>
      </c>
      <c r="B93" s="3" t="s">
        <v>67</v>
      </c>
      <c r="C93" s="3" t="s">
        <v>38</v>
      </c>
      <c r="D93" s="3" t="s">
        <v>32</v>
      </c>
      <c r="E93" s="3" t="s">
        <v>135</v>
      </c>
      <c r="I93" s="4">
        <v>68.86</v>
      </c>
      <c r="K93" s="3">
        <v>1.86</v>
      </c>
      <c r="L93" s="3">
        <v>21.38</v>
      </c>
      <c r="M93" s="4">
        <v>65.42</v>
      </c>
      <c r="N93" s="5">
        <f>SUM(Table3[[#This Row],[Biomass Above Ground]:[ Soil carbon]])</f>
        <v>157.51999999999998</v>
      </c>
      <c r="P93" s="3">
        <v>1.67</v>
      </c>
      <c r="R93" s="3">
        <v>0.03</v>
      </c>
      <c r="S93" s="3">
        <v>4.28</v>
      </c>
      <c r="T93" s="3">
        <v>0.36</v>
      </c>
      <c r="U93" s="6">
        <f>SUM(Table3[[#This Row],[Sequestration rate Above ground]:[Sequestration rate, Soil]])</f>
        <v>6.3400000000000007</v>
      </c>
      <c r="V93" s="3">
        <f>7.55/Table3[[#This Row],[Sequestration rate, Litter]]</f>
        <v>1.764018691588785</v>
      </c>
      <c r="W93" s="3" t="s">
        <v>121</v>
      </c>
      <c r="Y93" s="8" t="s">
        <v>688</v>
      </c>
    </row>
    <row r="94" spans="1:25" x14ac:dyDescent="0.25">
      <c r="A94" s="10">
        <v>87</v>
      </c>
      <c r="B94" s="3" t="s">
        <v>67</v>
      </c>
      <c r="C94" s="3" t="s">
        <v>38</v>
      </c>
      <c r="D94" s="3" t="s">
        <v>32</v>
      </c>
      <c r="E94" s="3" t="s">
        <v>136</v>
      </c>
      <c r="F94" s="3" t="s">
        <v>41</v>
      </c>
      <c r="I94" s="4">
        <v>21</v>
      </c>
      <c r="M94" s="4">
        <v>13</v>
      </c>
      <c r="N94" s="5">
        <f>SUM(I94:M94)</f>
        <v>34</v>
      </c>
      <c r="P94" s="3">
        <v>1.1299999999999999</v>
      </c>
      <c r="T94" s="3">
        <v>0.3</v>
      </c>
      <c r="U94" s="6">
        <f>SUM(P94:T94)</f>
        <v>1.43</v>
      </c>
      <c r="W94" s="3" t="s">
        <v>119</v>
      </c>
      <c r="Y94" s="8" t="s">
        <v>120</v>
      </c>
    </row>
    <row r="95" spans="1:25" x14ac:dyDescent="0.25">
      <c r="A95" s="10">
        <v>88</v>
      </c>
      <c r="B95" s="3" t="s">
        <v>67</v>
      </c>
      <c r="C95" s="3" t="s">
        <v>38</v>
      </c>
      <c r="D95" s="3" t="s">
        <v>32</v>
      </c>
      <c r="E95" s="3" t="s">
        <v>137</v>
      </c>
      <c r="I95" s="4">
        <v>91.92</v>
      </c>
      <c r="K95" s="3">
        <v>1.58</v>
      </c>
      <c r="L95" s="3">
        <v>14.49</v>
      </c>
      <c r="M95" s="4">
        <v>55.45</v>
      </c>
      <c r="N95" s="5">
        <f>SUM(Table3[[#This Row],[Biomass Above Ground]:[ Soil carbon]])</f>
        <v>163.44</v>
      </c>
      <c r="P95" s="3">
        <v>1.08</v>
      </c>
      <c r="R95" s="3">
        <v>0.02</v>
      </c>
      <c r="S95" s="3">
        <v>2.9</v>
      </c>
      <c r="T95" s="3">
        <v>0.13</v>
      </c>
      <c r="U95" s="6">
        <f>SUM(Table3[[#This Row],[Sequestration rate Above ground]:[Sequestration rate, Soil]])</f>
        <v>4.13</v>
      </c>
      <c r="V95" s="3">
        <f>7.55/Table3[[#This Row],[Sequestration rate, Litter]]</f>
        <v>2.603448275862069</v>
      </c>
      <c r="W95" s="3" t="s">
        <v>121</v>
      </c>
      <c r="Y95" s="3" t="s">
        <v>688</v>
      </c>
    </row>
    <row r="96" spans="1:25" x14ac:dyDescent="0.25">
      <c r="A96" s="10">
        <v>89</v>
      </c>
      <c r="B96" s="3" t="s">
        <v>67</v>
      </c>
      <c r="C96" s="3" t="s">
        <v>38</v>
      </c>
      <c r="D96" s="3" t="s">
        <v>32</v>
      </c>
      <c r="E96" s="3" t="s">
        <v>137</v>
      </c>
      <c r="F96" s="3" t="s">
        <v>41</v>
      </c>
      <c r="I96" s="4">
        <v>45</v>
      </c>
      <c r="M96" s="4">
        <v>20</v>
      </c>
      <c r="N96" s="5">
        <f>SUM(I96:M96)</f>
        <v>65</v>
      </c>
      <c r="P96" s="3">
        <v>0.7</v>
      </c>
      <c r="T96" s="3">
        <v>0.31</v>
      </c>
      <c r="U96" s="6">
        <f>SUM(P96:T96)</f>
        <v>1.01</v>
      </c>
      <c r="W96" s="3" t="s">
        <v>119</v>
      </c>
      <c r="Y96" s="8" t="s">
        <v>120</v>
      </c>
    </row>
    <row r="97" spans="1:26" x14ac:dyDescent="0.25">
      <c r="A97" s="10">
        <v>90</v>
      </c>
      <c r="B97" s="3" t="s">
        <v>67</v>
      </c>
      <c r="C97" s="3" t="s">
        <v>38</v>
      </c>
      <c r="D97" s="3" t="s">
        <v>32</v>
      </c>
      <c r="E97" s="3" t="s">
        <v>138</v>
      </c>
      <c r="I97" s="4">
        <v>82.1</v>
      </c>
      <c r="K97" s="3">
        <v>9.8800000000000008</v>
      </c>
      <c r="L97" s="3">
        <v>22.49</v>
      </c>
      <c r="M97" s="4">
        <v>98.85</v>
      </c>
      <c r="N97" s="5">
        <f>SUM(Table3[[#This Row],[Biomass Above Ground]:[ Soil carbon]])</f>
        <v>213.32</v>
      </c>
      <c r="P97" s="3">
        <v>0.4</v>
      </c>
      <c r="R97" s="3">
        <v>0.04</v>
      </c>
      <c r="S97" s="3">
        <v>4.5</v>
      </c>
      <c r="T97" s="3">
        <v>7.0000000000000007E-2</v>
      </c>
      <c r="U97" s="6">
        <f>SUM(Table3[[#This Row],[Sequestration rate Above ground]:[Sequestration rate, Soil]])</f>
        <v>5.0100000000000007</v>
      </c>
      <c r="W97" s="3" t="s">
        <v>121</v>
      </c>
      <c r="Y97" s="8" t="s">
        <v>688</v>
      </c>
    </row>
    <row r="98" spans="1:26" x14ac:dyDescent="0.25">
      <c r="A98" s="10">
        <v>91</v>
      </c>
      <c r="B98" s="3" t="s">
        <v>67</v>
      </c>
      <c r="C98" s="3" t="s">
        <v>38</v>
      </c>
      <c r="D98" s="3" t="s">
        <v>32</v>
      </c>
      <c r="E98" s="3" t="s">
        <v>139</v>
      </c>
      <c r="I98" s="4">
        <v>76.81</v>
      </c>
      <c r="K98" s="3">
        <v>4.82</v>
      </c>
      <c r="L98" s="3">
        <v>21.02</v>
      </c>
      <c r="M98" s="4">
        <v>92.91</v>
      </c>
      <c r="N98" s="5">
        <f>SUM(Table3[[#This Row],[Biomass Above Ground]:[ Soil carbon]])</f>
        <v>195.56</v>
      </c>
      <c r="P98" s="3">
        <v>0.41</v>
      </c>
      <c r="R98" s="3">
        <v>0.02</v>
      </c>
      <c r="S98" s="3">
        <v>4.2</v>
      </c>
      <c r="T98" s="3">
        <v>0.08</v>
      </c>
      <c r="U98" s="6">
        <f>SUM(Table3[[#This Row],[Sequestration rate Above ground]:[Sequestration rate, Soil]])</f>
        <v>4.71</v>
      </c>
      <c r="V98" s="3">
        <f>7.55/Table3[[#This Row],[Sequestration rate, Litter]]</f>
        <v>1.7976190476190474</v>
      </c>
      <c r="W98" s="3" t="s">
        <v>121</v>
      </c>
      <c r="Y98" s="8" t="s">
        <v>688</v>
      </c>
    </row>
    <row r="99" spans="1:26" x14ac:dyDescent="0.25">
      <c r="A99" s="10">
        <v>92</v>
      </c>
      <c r="B99" s="3" t="s">
        <v>67</v>
      </c>
      <c r="C99" s="3" t="s">
        <v>38</v>
      </c>
      <c r="D99" s="3" t="s">
        <v>32</v>
      </c>
      <c r="E99" s="3" t="s">
        <v>140</v>
      </c>
      <c r="I99" s="4">
        <v>101.41</v>
      </c>
      <c r="K99" s="3">
        <v>3.31</v>
      </c>
      <c r="L99" s="3">
        <v>21.93</v>
      </c>
      <c r="M99" s="4">
        <v>85.41</v>
      </c>
      <c r="N99" s="5">
        <f>SUM(Table3[[#This Row],[Biomass Above Ground]:[ Soil carbon]])</f>
        <v>212.06</v>
      </c>
      <c r="P99" s="3">
        <v>0.26</v>
      </c>
      <c r="R99" s="3">
        <v>0.02</v>
      </c>
      <c r="S99" s="3">
        <v>4.3899999999999997</v>
      </c>
      <c r="T99" s="3">
        <v>0.04</v>
      </c>
      <c r="U99" s="6">
        <f>SUM(Table3[[#This Row],[Sequestration rate Above ground]:[Sequestration rate, Soil]])</f>
        <v>4.71</v>
      </c>
      <c r="V99" s="3">
        <f>7.55/Table3[[#This Row],[Sequestration rate, Litter]]</f>
        <v>1.7198177676537587</v>
      </c>
      <c r="W99" s="3" t="s">
        <v>121</v>
      </c>
      <c r="Y99" s="8" t="s">
        <v>688</v>
      </c>
    </row>
    <row r="100" spans="1:26" x14ac:dyDescent="0.25">
      <c r="A100" s="10">
        <v>93</v>
      </c>
      <c r="B100" s="3" t="s">
        <v>67</v>
      </c>
      <c r="C100" s="3" t="s">
        <v>38</v>
      </c>
      <c r="D100" s="3" t="s">
        <v>32</v>
      </c>
      <c r="E100" s="14" t="s">
        <v>141</v>
      </c>
      <c r="F100" s="3" t="s">
        <v>41</v>
      </c>
      <c r="I100" s="4">
        <v>29</v>
      </c>
      <c r="M100" s="4">
        <v>45</v>
      </c>
      <c r="N100" s="5">
        <f>SUM(I100:M100)</f>
        <v>74</v>
      </c>
      <c r="P100" s="3">
        <v>0.32</v>
      </c>
      <c r="T100" s="3">
        <v>0.09</v>
      </c>
      <c r="U100" s="6">
        <f>SUM(P100:T100)</f>
        <v>0.41000000000000003</v>
      </c>
      <c r="W100" s="3" t="s">
        <v>119</v>
      </c>
      <c r="Y100" s="8" t="s">
        <v>120</v>
      </c>
    </row>
    <row r="101" spans="1:26" x14ac:dyDescent="0.25">
      <c r="A101" s="10">
        <v>94</v>
      </c>
      <c r="B101" s="3" t="s">
        <v>67</v>
      </c>
      <c r="C101" s="3" t="s">
        <v>38</v>
      </c>
      <c r="D101" s="3" t="s">
        <v>32</v>
      </c>
      <c r="E101" s="3" t="s">
        <v>28</v>
      </c>
      <c r="F101" s="3" t="s">
        <v>41</v>
      </c>
      <c r="I101" s="4">
        <v>71</v>
      </c>
      <c r="M101" s="4">
        <v>38</v>
      </c>
      <c r="N101" s="5">
        <f>SUM(I101:M101)</f>
        <v>109</v>
      </c>
      <c r="P101" s="3">
        <v>1.52</v>
      </c>
      <c r="T101" s="3">
        <v>1.07</v>
      </c>
      <c r="U101" s="6">
        <f>SUM(P101:T101)</f>
        <v>2.59</v>
      </c>
      <c r="W101" s="3" t="s">
        <v>119</v>
      </c>
      <c r="Y101" s="8" t="s">
        <v>120</v>
      </c>
    </row>
    <row r="102" spans="1:26" x14ac:dyDescent="0.25">
      <c r="A102" s="10">
        <v>95</v>
      </c>
      <c r="B102" s="3" t="s">
        <v>67</v>
      </c>
      <c r="C102" s="3" t="s">
        <v>38</v>
      </c>
      <c r="D102" s="3" t="s">
        <v>32</v>
      </c>
      <c r="E102" s="3" t="s">
        <v>28</v>
      </c>
      <c r="I102" s="4">
        <v>114.89</v>
      </c>
      <c r="K102" s="3">
        <v>4.3600000000000003</v>
      </c>
      <c r="L102" s="3">
        <v>28.21</v>
      </c>
      <c r="M102" s="4">
        <v>112.66</v>
      </c>
      <c r="N102" s="5">
        <f>SUM(Table3[[#This Row],[Biomass Above Ground]:[ Soil carbon]])</f>
        <v>260.12</v>
      </c>
      <c r="P102" s="3">
        <v>1.1599999999999999</v>
      </c>
      <c r="R102" s="3">
        <v>0.02</v>
      </c>
      <c r="S102" s="3">
        <v>5.64</v>
      </c>
      <c r="T102" s="3">
        <v>0</v>
      </c>
      <c r="U102" s="6">
        <f>SUM(Table3[[#This Row],[Sequestration rate Above ground]:[Sequestration rate, Soil]])</f>
        <v>6.8199999999999994</v>
      </c>
      <c r="W102" s="3" t="s">
        <v>121</v>
      </c>
      <c r="Y102" s="3" t="s">
        <v>688</v>
      </c>
    </row>
    <row r="103" spans="1:26" ht="60" x14ac:dyDescent="0.25">
      <c r="A103" s="10">
        <v>96</v>
      </c>
      <c r="B103" s="3" t="s">
        <v>67</v>
      </c>
      <c r="C103" s="3" t="s">
        <v>38</v>
      </c>
      <c r="D103" s="3" t="s">
        <v>142</v>
      </c>
      <c r="E103" s="3" t="s">
        <v>143</v>
      </c>
      <c r="F103" s="3" t="s">
        <v>41</v>
      </c>
      <c r="T103" s="3">
        <v>0.05</v>
      </c>
      <c r="U103" s="6">
        <f>SUM(P103:T103)</f>
        <v>0.05</v>
      </c>
      <c r="V103" s="3" t="s">
        <v>144</v>
      </c>
      <c r="W103" s="3" t="s">
        <v>145</v>
      </c>
      <c r="Y103" s="8" t="s">
        <v>146</v>
      </c>
      <c r="Z103" s="8"/>
    </row>
    <row r="104" spans="1:26" ht="60" x14ac:dyDescent="0.25">
      <c r="A104" s="10">
        <v>97</v>
      </c>
      <c r="B104" s="3" t="s">
        <v>67</v>
      </c>
      <c r="C104" s="3" t="s">
        <v>38</v>
      </c>
      <c r="D104" s="3" t="s">
        <v>142</v>
      </c>
      <c r="E104" s="3" t="s">
        <v>143</v>
      </c>
      <c r="F104" s="3" t="s">
        <v>41</v>
      </c>
      <c r="T104" s="3">
        <v>0.1</v>
      </c>
      <c r="U104" s="6">
        <f>SUM(P104:T104)</f>
        <v>0.1</v>
      </c>
      <c r="V104" s="3" t="s">
        <v>147</v>
      </c>
      <c r="W104" s="3" t="s">
        <v>145</v>
      </c>
      <c r="Y104" s="8" t="s">
        <v>146</v>
      </c>
    </row>
    <row r="105" spans="1:26" x14ac:dyDescent="0.25">
      <c r="A105" s="10">
        <v>98</v>
      </c>
      <c r="B105" s="3" t="s">
        <v>67</v>
      </c>
      <c r="C105" s="3" t="s">
        <v>38</v>
      </c>
      <c r="D105" s="3" t="s">
        <v>32</v>
      </c>
      <c r="E105" s="3" t="s">
        <v>148</v>
      </c>
      <c r="F105" s="3" t="s">
        <v>41</v>
      </c>
      <c r="I105" s="4">
        <v>21</v>
      </c>
      <c r="M105" s="4">
        <v>29</v>
      </c>
      <c r="N105" s="5">
        <f>SUM(I105:M105)</f>
        <v>50</v>
      </c>
      <c r="P105" s="3">
        <v>0.22</v>
      </c>
      <c r="T105" s="3">
        <v>0.08</v>
      </c>
      <c r="U105" s="6">
        <f>SUM(P105:T105)</f>
        <v>0.3</v>
      </c>
      <c r="W105" s="3" t="s">
        <v>119</v>
      </c>
      <c r="Y105" s="8" t="s">
        <v>120</v>
      </c>
    </row>
    <row r="106" spans="1:26" x14ac:dyDescent="0.25">
      <c r="A106" s="10">
        <v>99</v>
      </c>
      <c r="B106" s="3" t="s">
        <v>67</v>
      </c>
      <c r="C106" s="3" t="s">
        <v>38</v>
      </c>
      <c r="D106" s="3" t="s">
        <v>32</v>
      </c>
      <c r="E106" s="14" t="s">
        <v>149</v>
      </c>
      <c r="F106" s="3" t="s">
        <v>41</v>
      </c>
      <c r="I106" s="4">
        <v>41</v>
      </c>
      <c r="M106" s="4">
        <v>29</v>
      </c>
      <c r="N106" s="5">
        <f>SUM(I106:M106)</f>
        <v>70</v>
      </c>
      <c r="P106" s="3">
        <v>0.83</v>
      </c>
      <c r="T106" s="3">
        <v>0.37</v>
      </c>
      <c r="U106" s="6">
        <f>SUM(P106:T106)</f>
        <v>1.2</v>
      </c>
      <c r="W106" s="3" t="s">
        <v>119</v>
      </c>
      <c r="Y106" s="8" t="s">
        <v>120</v>
      </c>
    </row>
    <row r="107" spans="1:26" x14ac:dyDescent="0.25">
      <c r="A107" s="10">
        <v>100</v>
      </c>
      <c r="B107" s="3" t="s">
        <v>67</v>
      </c>
      <c r="C107" s="3" t="s">
        <v>38</v>
      </c>
      <c r="D107" s="3" t="s">
        <v>32</v>
      </c>
      <c r="E107" s="3" t="s">
        <v>150</v>
      </c>
      <c r="I107" s="4">
        <v>72.8</v>
      </c>
      <c r="K107" s="3">
        <v>3.04</v>
      </c>
      <c r="L107" s="3">
        <v>20.02</v>
      </c>
      <c r="M107" s="4">
        <v>104.3</v>
      </c>
      <c r="N107" s="5">
        <f>SUM(Table3[[#This Row],[Biomass Above Ground]:[ Soil carbon]])</f>
        <v>200.16</v>
      </c>
      <c r="P107" s="3">
        <v>0.03</v>
      </c>
      <c r="R107" s="3">
        <v>0</v>
      </c>
      <c r="S107" s="3">
        <v>4</v>
      </c>
      <c r="T107" s="3">
        <v>0</v>
      </c>
      <c r="U107" s="6">
        <f>SUM(Table3[[#This Row],[Sequestration rate Above ground]:[Sequestration rate, Soil]])</f>
        <v>4.03</v>
      </c>
      <c r="V107" s="3">
        <f>7.55/Table3[[#This Row],[Sequestration rate, Litter]]</f>
        <v>1.8875</v>
      </c>
      <c r="W107" s="3" t="s">
        <v>121</v>
      </c>
      <c r="Y107" s="3" t="s">
        <v>688</v>
      </c>
    </row>
    <row r="108" spans="1:26" x14ac:dyDescent="0.25">
      <c r="A108" s="10">
        <v>101</v>
      </c>
      <c r="B108" s="3" t="s">
        <v>67</v>
      </c>
      <c r="C108" s="3" t="s">
        <v>38</v>
      </c>
      <c r="D108" s="3" t="s">
        <v>32</v>
      </c>
      <c r="E108" s="3" t="s">
        <v>151</v>
      </c>
      <c r="I108" s="4">
        <v>41.66</v>
      </c>
      <c r="K108" s="3">
        <v>0.31</v>
      </c>
      <c r="L108" s="3">
        <v>21.96</v>
      </c>
      <c r="M108" s="4">
        <v>97.97</v>
      </c>
      <c r="N108" s="5">
        <f>SUM(Table3[[#This Row],[Biomass Above Ground]:[ Soil carbon]])</f>
        <v>161.9</v>
      </c>
      <c r="P108" s="3">
        <v>0.62</v>
      </c>
      <c r="R108" s="3">
        <v>0.01</v>
      </c>
      <c r="S108" s="3">
        <v>4.3899999999999997</v>
      </c>
      <c r="T108" s="3">
        <v>0.27</v>
      </c>
      <c r="U108" s="6">
        <f>SUM(Table3[[#This Row],[Sequestration rate Above ground]:[Sequestration rate, Soil]])</f>
        <v>5.2899999999999991</v>
      </c>
      <c r="V108" s="3">
        <f>7.55/Table3[[#This Row],[Sequestration rate, Litter]]</f>
        <v>1.7198177676537587</v>
      </c>
      <c r="W108" s="3" t="s">
        <v>121</v>
      </c>
      <c r="Y108" s="9" t="s">
        <v>688</v>
      </c>
    </row>
    <row r="109" spans="1:26" x14ac:dyDescent="0.25">
      <c r="A109" s="10">
        <v>102</v>
      </c>
      <c r="B109" s="3" t="s">
        <v>67</v>
      </c>
      <c r="C109" s="3" t="s">
        <v>38</v>
      </c>
      <c r="D109" s="3" t="s">
        <v>32</v>
      </c>
      <c r="E109" s="3" t="s">
        <v>151</v>
      </c>
      <c r="F109" s="3" t="s">
        <v>41</v>
      </c>
      <c r="I109" s="4">
        <v>25</v>
      </c>
      <c r="M109" s="4">
        <v>23</v>
      </c>
      <c r="N109" s="5">
        <f>SUM(I109:M109)</f>
        <v>48</v>
      </c>
      <c r="P109" s="3">
        <v>0.08</v>
      </c>
      <c r="T109" s="3">
        <v>0.05</v>
      </c>
      <c r="U109" s="6">
        <f>SUM(P109:T109)</f>
        <v>0.13</v>
      </c>
      <c r="W109" s="3" t="s">
        <v>119</v>
      </c>
      <c r="Y109" s="8" t="s">
        <v>120</v>
      </c>
    </row>
    <row r="110" spans="1:26" x14ac:dyDescent="0.25">
      <c r="A110" s="10">
        <v>103</v>
      </c>
      <c r="B110" s="3" t="s">
        <v>67</v>
      </c>
      <c r="C110" s="3" t="s">
        <v>38</v>
      </c>
      <c r="D110" s="3" t="s">
        <v>32</v>
      </c>
      <c r="E110" s="3" t="s">
        <v>152</v>
      </c>
      <c r="I110" s="4">
        <v>131.62</v>
      </c>
      <c r="K110" s="3">
        <v>6.72</v>
      </c>
      <c r="L110" s="3">
        <v>26.97</v>
      </c>
      <c r="M110" s="4">
        <v>90.48</v>
      </c>
      <c r="N110" s="5">
        <f>SUM(Table3[[#This Row],[Biomass Above Ground]:[ Soil carbon]])</f>
        <v>255.79000000000002</v>
      </c>
      <c r="P110" s="3">
        <v>1.39</v>
      </c>
      <c r="R110" s="3">
        <v>0.08</v>
      </c>
      <c r="S110" s="3">
        <v>5.4</v>
      </c>
      <c r="T110" s="3">
        <v>0.36</v>
      </c>
      <c r="U110" s="6">
        <f>SUM(Table3[[#This Row],[Sequestration rate Above ground]:[Sequestration rate, Soil]])</f>
        <v>7.23</v>
      </c>
      <c r="W110" s="3" t="s">
        <v>121</v>
      </c>
      <c r="Y110" s="8" t="s">
        <v>688</v>
      </c>
    </row>
    <row r="111" spans="1:26" x14ac:dyDescent="0.25">
      <c r="A111" s="10">
        <v>104</v>
      </c>
      <c r="B111" s="3" t="s">
        <v>67</v>
      </c>
      <c r="C111" s="3" t="s">
        <v>38</v>
      </c>
      <c r="D111" s="3" t="s">
        <v>32</v>
      </c>
      <c r="E111" s="14" t="s">
        <v>153</v>
      </c>
      <c r="F111" s="3" t="s">
        <v>41</v>
      </c>
      <c r="I111" s="4">
        <v>17</v>
      </c>
      <c r="M111" s="4">
        <v>11</v>
      </c>
      <c r="N111" s="5">
        <f>SUM(I111:M111)</f>
        <v>28</v>
      </c>
      <c r="P111" s="3">
        <v>0.27</v>
      </c>
      <c r="T111" s="3">
        <v>7.0000000000000007E-2</v>
      </c>
      <c r="U111" s="6">
        <f>SUM(P111:T111)</f>
        <v>0.34</v>
      </c>
      <c r="W111" s="3" t="s">
        <v>119</v>
      </c>
      <c r="Y111" s="8" t="s">
        <v>120</v>
      </c>
    </row>
    <row r="112" spans="1:26" x14ac:dyDescent="0.25">
      <c r="A112" s="10">
        <v>105</v>
      </c>
      <c r="B112" s="3" t="s">
        <v>67</v>
      </c>
      <c r="C112" s="3" t="s">
        <v>38</v>
      </c>
      <c r="D112" s="3" t="s">
        <v>32</v>
      </c>
      <c r="E112" s="3" t="s">
        <v>154</v>
      </c>
      <c r="F112" s="3" t="s">
        <v>41</v>
      </c>
      <c r="I112" s="4">
        <v>8</v>
      </c>
      <c r="M112" s="4">
        <v>7</v>
      </c>
      <c r="N112" s="5">
        <f>SUM(I112:M112)</f>
        <v>15</v>
      </c>
      <c r="P112" s="3">
        <v>0.22</v>
      </c>
      <c r="T112" s="3">
        <v>0</v>
      </c>
      <c r="U112" s="6">
        <f>SUM(P112:T112)</f>
        <v>0.22</v>
      </c>
      <c r="W112" s="3" t="s">
        <v>119</v>
      </c>
      <c r="Y112" s="8" t="s">
        <v>120</v>
      </c>
    </row>
    <row r="113" spans="1:25" x14ac:dyDescent="0.25">
      <c r="A113" s="10">
        <v>106</v>
      </c>
      <c r="B113" s="3" t="s">
        <v>67</v>
      </c>
      <c r="C113" s="3" t="s">
        <v>38</v>
      </c>
      <c r="D113" s="3" t="s">
        <v>32</v>
      </c>
      <c r="E113" s="3" t="s">
        <v>154</v>
      </c>
      <c r="I113" s="4">
        <v>61.83</v>
      </c>
      <c r="K113" s="3">
        <v>1.3</v>
      </c>
      <c r="L113" s="3">
        <v>16.29</v>
      </c>
      <c r="M113" s="4">
        <v>74.56</v>
      </c>
      <c r="N113" s="5">
        <f>SUM(Table3[[#This Row],[Biomass Above Ground]:[ Soil carbon]])</f>
        <v>153.97999999999999</v>
      </c>
      <c r="P113" s="3">
        <v>1.02</v>
      </c>
      <c r="R113" s="3">
        <v>0.02</v>
      </c>
      <c r="S113" s="3">
        <v>3.26</v>
      </c>
      <c r="T113" s="3">
        <v>0.27</v>
      </c>
      <c r="U113" s="6">
        <f>SUM(Table3[[#This Row],[Sequestration rate Above ground]:[Sequestration rate, Soil]])</f>
        <v>4.57</v>
      </c>
      <c r="V113" s="3">
        <f>7.55/Table3[[#This Row],[Sequestration rate, Litter]]</f>
        <v>2.3159509202453989</v>
      </c>
      <c r="W113" s="3" t="s">
        <v>121</v>
      </c>
      <c r="Y113" s="8" t="s">
        <v>688</v>
      </c>
    </row>
    <row r="114" spans="1:25" x14ac:dyDescent="0.25">
      <c r="A114" s="10">
        <v>107</v>
      </c>
      <c r="B114" s="3" t="s">
        <v>67</v>
      </c>
      <c r="C114" s="3" t="s">
        <v>38</v>
      </c>
      <c r="D114" s="3" t="s">
        <v>32</v>
      </c>
      <c r="E114" s="3" t="s">
        <v>628</v>
      </c>
      <c r="I114" s="4">
        <v>139.5</v>
      </c>
      <c r="K114" s="3">
        <v>5.81</v>
      </c>
      <c r="L114" s="3">
        <v>23.22</v>
      </c>
      <c r="M114" s="4">
        <v>87.74</v>
      </c>
      <c r="N114" s="5">
        <f>SUM(Table3[[#This Row],[Biomass Above Ground]:[ Soil carbon]])</f>
        <v>256.27</v>
      </c>
      <c r="P114" s="3">
        <v>0.8</v>
      </c>
      <c r="R114" s="3">
        <v>0.02</v>
      </c>
      <c r="S114" s="3">
        <v>4.6399999999999997</v>
      </c>
      <c r="T114" s="3">
        <v>0.19</v>
      </c>
      <c r="U114" s="6">
        <f>SUM(Table3[[#This Row],[Sequestration rate Above ground]:[Sequestration rate, Soil]])</f>
        <v>5.65</v>
      </c>
      <c r="W114" s="3" t="s">
        <v>121</v>
      </c>
      <c r="Y114" s="9" t="s">
        <v>688</v>
      </c>
    </row>
    <row r="115" spans="1:25" x14ac:dyDescent="0.25">
      <c r="A115" s="10">
        <v>108</v>
      </c>
      <c r="B115" s="3" t="s">
        <v>67</v>
      </c>
      <c r="C115" s="3" t="s">
        <v>38</v>
      </c>
      <c r="D115" s="3" t="s">
        <v>32</v>
      </c>
      <c r="E115" s="3" t="s">
        <v>627</v>
      </c>
      <c r="I115" s="4">
        <v>86.61</v>
      </c>
      <c r="K115" s="3">
        <v>3.51</v>
      </c>
      <c r="L115" s="3">
        <v>22.37</v>
      </c>
      <c r="M115" s="4">
        <v>86.12</v>
      </c>
      <c r="N115" s="5">
        <f>SUM(Table3[[#This Row],[Biomass Above Ground]:[ Soil carbon]])</f>
        <v>198.61</v>
      </c>
      <c r="P115" s="3">
        <v>0.48</v>
      </c>
      <c r="R115" s="3">
        <v>0</v>
      </c>
      <c r="S115" s="3">
        <v>4.47</v>
      </c>
      <c r="T115" s="3">
        <v>0.15</v>
      </c>
      <c r="U115" s="6">
        <f>SUM(Table3[[#This Row],[Sequestration rate Above ground]:[Sequestration rate, Soil]])</f>
        <v>5.0999999999999996</v>
      </c>
      <c r="V115" s="3">
        <f>7.55/Table3[[#This Row],[Sequestration rate, Litter]]</f>
        <v>1.6890380313199105</v>
      </c>
      <c r="W115" s="3" t="s">
        <v>121</v>
      </c>
      <c r="Y115" s="9" t="s">
        <v>688</v>
      </c>
    </row>
    <row r="116" spans="1:25" x14ac:dyDescent="0.25">
      <c r="A116" s="10">
        <v>109</v>
      </c>
      <c r="B116" s="3" t="s">
        <v>67</v>
      </c>
      <c r="C116" s="3" t="s">
        <v>38</v>
      </c>
      <c r="D116" s="3" t="s">
        <v>32</v>
      </c>
      <c r="E116" s="3" t="s">
        <v>155</v>
      </c>
      <c r="I116" s="4">
        <v>59.17</v>
      </c>
      <c r="K116" s="3">
        <v>1.59</v>
      </c>
      <c r="L116" s="3">
        <v>18.63</v>
      </c>
      <c r="M116" s="4">
        <v>83.17</v>
      </c>
      <c r="N116" s="5">
        <f>SUM(Table3[[#This Row],[Biomass Above Ground]:[ Soil carbon]])</f>
        <v>162.56</v>
      </c>
      <c r="P116" s="3">
        <v>0.48</v>
      </c>
      <c r="R116" s="3">
        <v>0</v>
      </c>
      <c r="S116" s="3">
        <v>3.73</v>
      </c>
      <c r="T116" s="3">
        <v>0.12</v>
      </c>
      <c r="U116" s="6">
        <f>SUM(Table3[[#This Row],[Sequestration rate Above ground]:[Sequestration rate, Soil]])</f>
        <v>4.33</v>
      </c>
      <c r="V116" s="3">
        <f>7.55/Table3[[#This Row],[Sequestration rate, Litter]]</f>
        <v>2.0241286863270775</v>
      </c>
      <c r="W116" s="3" t="s">
        <v>121</v>
      </c>
      <c r="Y116" s="3" t="s">
        <v>688</v>
      </c>
    </row>
    <row r="117" spans="1:25" x14ac:dyDescent="0.25">
      <c r="A117" s="10">
        <v>110</v>
      </c>
      <c r="B117" s="3" t="s">
        <v>67</v>
      </c>
      <c r="C117" s="3" t="s">
        <v>38</v>
      </c>
      <c r="D117" s="3" t="s">
        <v>32</v>
      </c>
      <c r="E117" s="3" t="s">
        <v>155</v>
      </c>
      <c r="F117" s="3" t="s">
        <v>41</v>
      </c>
      <c r="I117" s="4">
        <v>33</v>
      </c>
      <c r="M117" s="4">
        <v>47</v>
      </c>
      <c r="N117" s="5">
        <f>SUM(I117:M117)</f>
        <v>80</v>
      </c>
      <c r="P117" s="3">
        <v>0.43</v>
      </c>
      <c r="T117" s="3">
        <v>0.09</v>
      </c>
      <c r="U117" s="6">
        <f>SUM(P117:T117)</f>
        <v>0.52</v>
      </c>
      <c r="W117" s="3" t="s">
        <v>119</v>
      </c>
      <c r="Y117" s="8" t="s">
        <v>120</v>
      </c>
    </row>
    <row r="118" spans="1:25" x14ac:dyDescent="0.25">
      <c r="A118" s="10">
        <v>111</v>
      </c>
      <c r="B118" s="3" t="s">
        <v>67</v>
      </c>
      <c r="C118" s="3" t="s">
        <v>38</v>
      </c>
      <c r="D118" s="3" t="s">
        <v>32</v>
      </c>
      <c r="E118" s="3" t="s">
        <v>126</v>
      </c>
      <c r="F118" s="3" t="s">
        <v>41</v>
      </c>
      <c r="I118" s="4">
        <v>118</v>
      </c>
      <c r="M118" s="4">
        <v>100</v>
      </c>
      <c r="N118" s="5">
        <f>SUM(I118:M118)</f>
        <v>218</v>
      </c>
      <c r="P118" s="3">
        <v>0.27</v>
      </c>
      <c r="T118" s="3">
        <v>0.43</v>
      </c>
      <c r="U118" s="6">
        <f>SUM(P118:T118)</f>
        <v>0.7</v>
      </c>
      <c r="W118" s="3" t="s">
        <v>119</v>
      </c>
      <c r="Y118" s="8" t="s">
        <v>120</v>
      </c>
    </row>
    <row r="119" spans="1:25" x14ac:dyDescent="0.25">
      <c r="A119" s="10">
        <v>112</v>
      </c>
      <c r="B119" s="3" t="s">
        <v>67</v>
      </c>
      <c r="C119" s="3" t="s">
        <v>38</v>
      </c>
      <c r="D119" s="3" t="s">
        <v>32</v>
      </c>
      <c r="E119" s="3" t="s">
        <v>156</v>
      </c>
      <c r="H119" s="3">
        <v>767</v>
      </c>
      <c r="I119" s="4">
        <f>47/(H119*10^6)*(10^12)/10000*10</f>
        <v>61.27770534550195</v>
      </c>
      <c r="K119" s="4">
        <f>3/(H119*10^6)*(10^12)/10000*10</f>
        <v>3.9113428943937416</v>
      </c>
      <c r="M119" s="4">
        <f>69/(H119*10^6)*(10^12)/10000*10</f>
        <v>89.960886571056051</v>
      </c>
      <c r="N119" s="5">
        <f>119/(H119*10^6)*10^12/10^4*10</f>
        <v>155.14993481095178</v>
      </c>
      <c r="W119" s="3" t="s">
        <v>157</v>
      </c>
      <c r="Y119" s="29" t="s">
        <v>692</v>
      </c>
    </row>
    <row r="120" spans="1:25" x14ac:dyDescent="0.25">
      <c r="A120" s="10">
        <v>113</v>
      </c>
      <c r="B120" s="3" t="s">
        <v>67</v>
      </c>
      <c r="C120" s="3" t="s">
        <v>38</v>
      </c>
      <c r="D120" s="3" t="s">
        <v>32</v>
      </c>
      <c r="E120" s="3" t="s">
        <v>158</v>
      </c>
      <c r="G120" s="13"/>
      <c r="H120" s="13">
        <v>3581</v>
      </c>
      <c r="I120" s="4">
        <f>363/(H120*10^6)*(10^12)/10000*10</f>
        <v>101.36833286791399</v>
      </c>
      <c r="K120" s="4">
        <f>73/(H120*10^6)*(10^12)/10000*10</f>
        <v>20.385367215861493</v>
      </c>
      <c r="M120" s="4">
        <f>426/(H120*10^6)*(10^12)/10^4*10</f>
        <v>118.96118402680816</v>
      </c>
      <c r="N120" s="5">
        <f>861/(H120*10^6)*10^12/10^4*10</f>
        <v>240.43563250488688</v>
      </c>
      <c r="W120" s="3" t="s">
        <v>157</v>
      </c>
      <c r="Y120" s="29" t="s">
        <v>692</v>
      </c>
    </row>
    <row r="121" spans="1:25" x14ac:dyDescent="0.25">
      <c r="A121" s="10">
        <v>114</v>
      </c>
      <c r="B121" s="3" t="s">
        <v>67</v>
      </c>
      <c r="C121" s="3" t="s">
        <v>38</v>
      </c>
      <c r="D121" s="3" t="s">
        <v>32</v>
      </c>
      <c r="E121" s="3" t="s">
        <v>159</v>
      </c>
      <c r="G121" s="13"/>
      <c r="H121" s="13">
        <v>1949</v>
      </c>
      <c r="I121" s="4">
        <f>262/(H121*10^6)*(10^12)/10000*10</f>
        <v>134.42791174961519</v>
      </c>
      <c r="K121" s="4">
        <f>546/(H121*10^6)*(10^12)/10000*10</f>
        <v>280.14366341713702</v>
      </c>
      <c r="M121" s="4">
        <f>155/(H121*10^6)*(10^12)/10000*10</f>
        <v>79.52796305797844</v>
      </c>
      <c r="N121" s="5">
        <f>471/(H121*10^6)*10^12/10^4*10</f>
        <v>241.66239096972805</v>
      </c>
      <c r="W121" s="3" t="s">
        <v>157</v>
      </c>
      <c r="Y121" s="29" t="s">
        <v>692</v>
      </c>
    </row>
    <row r="122" spans="1:25" x14ac:dyDescent="0.25">
      <c r="A122" s="10">
        <v>115</v>
      </c>
      <c r="B122" s="3" t="s">
        <v>67</v>
      </c>
      <c r="C122" s="3" t="s">
        <v>38</v>
      </c>
      <c r="D122" s="3" t="s">
        <v>32</v>
      </c>
      <c r="E122" s="3" t="s">
        <v>22</v>
      </c>
      <c r="F122" s="3" t="s">
        <v>41</v>
      </c>
      <c r="I122" s="4">
        <v>36</v>
      </c>
      <c r="M122" s="4">
        <v>28</v>
      </c>
      <c r="N122" s="5">
        <f>SUM(I122:M122)</f>
        <v>64</v>
      </c>
      <c r="P122" s="3">
        <v>0.71</v>
      </c>
      <c r="T122" s="3">
        <v>0.32</v>
      </c>
      <c r="U122" s="6">
        <f>SUM(P122:T122)</f>
        <v>1.03</v>
      </c>
      <c r="W122" s="3" t="s">
        <v>119</v>
      </c>
      <c r="Y122" s="8" t="s">
        <v>120</v>
      </c>
    </row>
    <row r="123" spans="1:25" x14ac:dyDescent="0.25">
      <c r="A123" s="10">
        <v>116</v>
      </c>
      <c r="B123" s="3" t="s">
        <v>67</v>
      </c>
      <c r="C123" s="3" t="s">
        <v>38</v>
      </c>
      <c r="D123" s="3" t="s">
        <v>32</v>
      </c>
      <c r="E123" s="3" t="s">
        <v>160</v>
      </c>
      <c r="I123" s="4">
        <v>61.02</v>
      </c>
      <c r="K123" s="3">
        <v>2.77</v>
      </c>
      <c r="L123" s="3">
        <v>17.920000000000002</v>
      </c>
      <c r="M123" s="4">
        <v>65.59</v>
      </c>
      <c r="N123" s="5">
        <f>SUM(Table3[[#This Row],[Biomass Above Ground]:[ Soil carbon]])</f>
        <v>147.30000000000001</v>
      </c>
      <c r="P123" s="3">
        <v>0.53</v>
      </c>
      <c r="R123" s="3">
        <v>0.02</v>
      </c>
      <c r="S123" s="3">
        <v>3.58</v>
      </c>
      <c r="T123" s="3">
        <v>0.03</v>
      </c>
      <c r="U123" s="6">
        <f>SUM(Table3[[#This Row],[Sequestration rate Above ground]:[Sequestration rate, Soil]])</f>
        <v>4.16</v>
      </c>
      <c r="V123" s="3">
        <f>7.55/Table3[[#This Row],[Sequestration rate, Litter]]</f>
        <v>2.1089385474860336</v>
      </c>
      <c r="W123" s="3" t="s">
        <v>121</v>
      </c>
      <c r="Y123" s="3" t="s">
        <v>688</v>
      </c>
    </row>
    <row r="124" spans="1:25" ht="30" x14ac:dyDescent="0.25">
      <c r="A124" s="10">
        <v>117</v>
      </c>
      <c r="B124" s="3" t="s">
        <v>67</v>
      </c>
      <c r="C124" s="3" t="s">
        <v>161</v>
      </c>
      <c r="E124" s="3" t="s">
        <v>22</v>
      </c>
      <c r="I124" s="4">
        <f>400*12/44</f>
        <v>109.09090909090909</v>
      </c>
      <c r="N124" s="5">
        <f>SUM(Table3[[#This Row],[Biomass Above Ground]:[ Soil carbon]])</f>
        <v>109.09090909090909</v>
      </c>
      <c r="O124" s="4" t="s">
        <v>85</v>
      </c>
      <c r="P124" s="4">
        <f>22*12/44</f>
        <v>6</v>
      </c>
      <c r="U124" s="6">
        <f>SUM(Table3[[#This Row],[Sequestration rate Above ground]:[Sequestration rate, Soil]])</f>
        <v>6</v>
      </c>
      <c r="W124" s="3" t="s">
        <v>86</v>
      </c>
      <c r="X124" s="3" t="s">
        <v>25</v>
      </c>
      <c r="Y124" s="8" t="s">
        <v>26</v>
      </c>
    </row>
    <row r="125" spans="1:25" x14ac:dyDescent="0.25">
      <c r="A125" s="10">
        <v>118</v>
      </c>
      <c r="B125" s="3" t="s">
        <v>67</v>
      </c>
      <c r="C125" s="3" t="s">
        <v>162</v>
      </c>
      <c r="D125" s="3" t="s">
        <v>163</v>
      </c>
      <c r="E125" s="3" t="s">
        <v>37</v>
      </c>
      <c r="F125" s="3" t="s">
        <v>41</v>
      </c>
      <c r="H125" s="3">
        <v>8</v>
      </c>
      <c r="I125" s="4">
        <f>4*10</f>
        <v>40</v>
      </c>
      <c r="N125" s="5">
        <f>SUM(I125:M125)</f>
        <v>40</v>
      </c>
      <c r="W125" s="3" t="s">
        <v>42</v>
      </c>
      <c r="Y125" s="8" t="s">
        <v>43</v>
      </c>
    </row>
    <row r="126" spans="1:25" ht="30" x14ac:dyDescent="0.25">
      <c r="A126" s="10">
        <v>119</v>
      </c>
      <c r="B126" s="3" t="s">
        <v>67</v>
      </c>
      <c r="C126" s="3" t="s">
        <v>162</v>
      </c>
      <c r="D126" s="3" t="s">
        <v>164</v>
      </c>
      <c r="E126" s="3" t="s">
        <v>37</v>
      </c>
      <c r="F126" s="3" t="s">
        <v>41</v>
      </c>
      <c r="H126" s="3">
        <v>12</v>
      </c>
      <c r="I126" s="4">
        <f>3*10</f>
        <v>30</v>
      </c>
      <c r="N126" s="5">
        <f>SUM(I126:M126)</f>
        <v>30</v>
      </c>
      <c r="W126" s="3" t="s">
        <v>42</v>
      </c>
      <c r="Y126" s="8" t="s">
        <v>43</v>
      </c>
    </row>
    <row r="127" spans="1:25" ht="30" x14ac:dyDescent="0.25">
      <c r="A127" s="10">
        <v>120</v>
      </c>
      <c r="B127" s="3" t="s">
        <v>67</v>
      </c>
      <c r="C127" s="3" t="s">
        <v>162</v>
      </c>
      <c r="D127" s="3" t="s">
        <v>165</v>
      </c>
      <c r="E127" s="3" t="s">
        <v>166</v>
      </c>
      <c r="F127" s="3" t="s">
        <v>41</v>
      </c>
      <c r="H127" s="3">
        <v>14</v>
      </c>
      <c r="I127" s="4">
        <f>3*10</f>
        <v>30</v>
      </c>
      <c r="N127" s="5">
        <f>SUM(I127:M127)</f>
        <v>30</v>
      </c>
      <c r="W127" s="3" t="s">
        <v>42</v>
      </c>
      <c r="Y127" s="8" t="s">
        <v>43</v>
      </c>
    </row>
    <row r="128" spans="1:25" ht="45" x14ac:dyDescent="0.25">
      <c r="A128" s="10">
        <v>121</v>
      </c>
      <c r="B128" s="3" t="s">
        <v>67</v>
      </c>
      <c r="C128" s="3" t="s">
        <v>162</v>
      </c>
      <c r="D128" s="3" t="s">
        <v>167</v>
      </c>
      <c r="E128" s="3" t="s">
        <v>103</v>
      </c>
      <c r="F128" s="3" t="s">
        <v>41</v>
      </c>
      <c r="H128" s="3">
        <v>4</v>
      </c>
      <c r="I128" s="4">
        <f>7*10</f>
        <v>70</v>
      </c>
      <c r="N128" s="5">
        <f>SUM(I128:M128)</f>
        <v>70</v>
      </c>
      <c r="W128" s="3" t="s">
        <v>42</v>
      </c>
      <c r="Y128" s="8" t="s">
        <v>43</v>
      </c>
    </row>
    <row r="129" spans="1:26" ht="60" x14ac:dyDescent="0.25">
      <c r="A129" s="10">
        <v>122</v>
      </c>
      <c r="B129" s="3" t="s">
        <v>67</v>
      </c>
      <c r="C129" s="3" t="s">
        <v>81</v>
      </c>
      <c r="D129" s="3" t="s">
        <v>32</v>
      </c>
      <c r="E129" s="3" t="s">
        <v>28</v>
      </c>
      <c r="F129" s="3" t="s">
        <v>41</v>
      </c>
      <c r="I129" s="4">
        <v>57.533999999999999</v>
      </c>
      <c r="J129" s="15"/>
      <c r="K129" s="15"/>
      <c r="L129" s="15"/>
      <c r="M129" s="4">
        <v>109.589</v>
      </c>
      <c r="N129" s="5">
        <f>SUM(I129:M129)</f>
        <v>167.12299999999999</v>
      </c>
      <c r="W129" s="3" t="s">
        <v>168</v>
      </c>
      <c r="Y129" s="8" t="s">
        <v>169</v>
      </c>
    </row>
    <row r="130" spans="1:26" ht="45" x14ac:dyDescent="0.25">
      <c r="A130" s="10">
        <v>123</v>
      </c>
      <c r="B130" s="3" t="s">
        <v>67</v>
      </c>
      <c r="C130" s="3" t="s">
        <v>81</v>
      </c>
      <c r="D130" s="3" t="s">
        <v>170</v>
      </c>
      <c r="E130" s="3" t="s">
        <v>28</v>
      </c>
      <c r="F130" s="3" t="s">
        <v>41</v>
      </c>
      <c r="J130" s="16"/>
      <c r="K130" s="16"/>
      <c r="L130" s="16"/>
      <c r="M130" s="4">
        <v>52</v>
      </c>
      <c r="P130" s="3">
        <v>1.4910000000000001</v>
      </c>
      <c r="U130" s="6">
        <f>SUM(P130:T130)</f>
        <v>1.4910000000000001</v>
      </c>
      <c r="W130" s="3" t="s">
        <v>171</v>
      </c>
      <c r="Y130" s="8" t="s">
        <v>172</v>
      </c>
    </row>
    <row r="131" spans="1:26" ht="45" x14ac:dyDescent="0.25">
      <c r="A131" s="10">
        <v>124</v>
      </c>
      <c r="B131" s="3" t="s">
        <v>67</v>
      </c>
      <c r="C131" s="3" t="s">
        <v>81</v>
      </c>
      <c r="D131" s="3" t="s">
        <v>173</v>
      </c>
      <c r="E131" s="3" t="s">
        <v>28</v>
      </c>
      <c r="F131" s="3" t="s">
        <v>41</v>
      </c>
      <c r="M131" s="4">
        <v>52</v>
      </c>
      <c r="P131" s="3">
        <v>2.278</v>
      </c>
      <c r="U131" s="6">
        <f>SUM(P131:T131)</f>
        <v>2.278</v>
      </c>
      <c r="W131" s="3" t="s">
        <v>174</v>
      </c>
      <c r="Y131" s="8" t="s">
        <v>172</v>
      </c>
    </row>
    <row r="132" spans="1:26" ht="45" x14ac:dyDescent="0.25">
      <c r="A132" s="10">
        <v>125</v>
      </c>
      <c r="B132" s="3" t="s">
        <v>67</v>
      </c>
      <c r="C132" s="3" t="s">
        <v>81</v>
      </c>
      <c r="D132" s="3" t="s">
        <v>175</v>
      </c>
      <c r="E132" s="3" t="s">
        <v>28</v>
      </c>
      <c r="F132" s="3" t="s">
        <v>41</v>
      </c>
      <c r="M132" s="4">
        <v>52</v>
      </c>
      <c r="P132" s="3">
        <v>1.8</v>
      </c>
      <c r="U132" s="6">
        <f>SUM(P132:T132)</f>
        <v>1.8</v>
      </c>
      <c r="W132" s="3" t="s">
        <v>174</v>
      </c>
      <c r="Y132" s="8" t="s">
        <v>172</v>
      </c>
    </row>
    <row r="133" spans="1:26" x14ac:dyDescent="0.25">
      <c r="A133" s="10">
        <v>126</v>
      </c>
      <c r="B133" s="3" t="s">
        <v>67</v>
      </c>
      <c r="C133" s="3" t="s">
        <v>81</v>
      </c>
      <c r="D133" s="3" t="s">
        <v>82</v>
      </c>
      <c r="E133" s="3" t="s">
        <v>28</v>
      </c>
      <c r="F133" s="3" t="s">
        <v>41</v>
      </c>
      <c r="I133" s="4">
        <v>62</v>
      </c>
      <c r="J133" s="3">
        <v>16</v>
      </c>
      <c r="K133" s="3">
        <v>11</v>
      </c>
      <c r="L133" s="3">
        <v>34</v>
      </c>
      <c r="M133" s="4">
        <v>89</v>
      </c>
      <c r="N133" s="5">
        <f>SUM(I133:M133)</f>
        <v>212</v>
      </c>
      <c r="W133" s="3" t="s">
        <v>30</v>
      </c>
      <c r="X133" s="8"/>
      <c r="Y133" s="29" t="s">
        <v>31</v>
      </c>
      <c r="Z133" s="2"/>
    </row>
    <row r="134" spans="1:26" x14ac:dyDescent="0.25">
      <c r="A134" s="10">
        <v>127</v>
      </c>
      <c r="B134" s="3" t="s">
        <v>67</v>
      </c>
      <c r="C134" s="3" t="s">
        <v>81</v>
      </c>
      <c r="D134" s="3" t="s">
        <v>32</v>
      </c>
      <c r="E134" s="3" t="s">
        <v>628</v>
      </c>
      <c r="F134" s="3" t="s">
        <v>41</v>
      </c>
      <c r="I134" s="4">
        <v>86.572999999999993</v>
      </c>
      <c r="J134" s="15"/>
      <c r="K134" s="15"/>
      <c r="L134" s="15"/>
      <c r="M134" s="4">
        <v>139.96899999999999</v>
      </c>
      <c r="N134" s="5">
        <f>SUM(I134:M134)</f>
        <v>226.54199999999997</v>
      </c>
      <c r="W134" s="3" t="s">
        <v>176</v>
      </c>
      <c r="Y134" s="8" t="s">
        <v>169</v>
      </c>
    </row>
    <row r="135" spans="1:26" ht="60" x14ac:dyDescent="0.25">
      <c r="A135" s="10">
        <v>128</v>
      </c>
      <c r="B135" s="3" t="s">
        <v>67</v>
      </c>
      <c r="C135" s="3" t="s">
        <v>81</v>
      </c>
      <c r="D135" s="3" t="s">
        <v>177</v>
      </c>
      <c r="E135" s="3" t="s">
        <v>629</v>
      </c>
      <c r="P135" s="3">
        <v>1.7</v>
      </c>
      <c r="U135" s="6">
        <f>SUM(P135:T135)</f>
        <v>1.7</v>
      </c>
      <c r="W135" s="3" t="s">
        <v>178</v>
      </c>
      <c r="X135" s="3" t="s">
        <v>179</v>
      </c>
      <c r="Y135" s="8" t="s">
        <v>169</v>
      </c>
    </row>
    <row r="136" spans="1:26" ht="60" x14ac:dyDescent="0.25">
      <c r="A136" s="10">
        <v>129</v>
      </c>
      <c r="B136" s="3" t="s">
        <v>67</v>
      </c>
      <c r="C136" s="3" t="s">
        <v>81</v>
      </c>
      <c r="D136" s="3" t="s">
        <v>177</v>
      </c>
      <c r="E136" s="3" t="s">
        <v>630</v>
      </c>
      <c r="P136" s="3">
        <v>2.6</v>
      </c>
      <c r="U136" s="6">
        <f>SUM(P136:T136)</f>
        <v>2.6</v>
      </c>
      <c r="W136" s="3" t="s">
        <v>178</v>
      </c>
      <c r="X136" s="3" t="s">
        <v>179</v>
      </c>
      <c r="Y136" s="8" t="s">
        <v>169</v>
      </c>
    </row>
    <row r="137" spans="1:26" ht="60" x14ac:dyDescent="0.25">
      <c r="A137" s="10">
        <v>130</v>
      </c>
      <c r="B137" s="3" t="s">
        <v>67</v>
      </c>
      <c r="C137" s="3" t="s">
        <v>81</v>
      </c>
      <c r="D137" s="3" t="s">
        <v>177</v>
      </c>
      <c r="E137" s="3" t="s">
        <v>631</v>
      </c>
      <c r="P137" s="3">
        <v>3.3</v>
      </c>
      <c r="U137" s="6">
        <f>SUM(P137:T137)</f>
        <v>3.3</v>
      </c>
      <c r="W137" s="3" t="s">
        <v>178</v>
      </c>
      <c r="X137" s="3" t="s">
        <v>179</v>
      </c>
      <c r="Y137" s="8" t="s">
        <v>169</v>
      </c>
    </row>
    <row r="138" spans="1:26" x14ac:dyDescent="0.25">
      <c r="A138" s="10">
        <v>131</v>
      </c>
      <c r="B138" s="3" t="s">
        <v>67</v>
      </c>
      <c r="C138" s="3" t="s">
        <v>81</v>
      </c>
      <c r="D138" s="3" t="s">
        <v>32</v>
      </c>
      <c r="E138" s="3" t="s">
        <v>22</v>
      </c>
      <c r="F138" s="3" t="s">
        <v>41</v>
      </c>
      <c r="I138" s="4">
        <v>33.392000000000003</v>
      </c>
      <c r="J138" s="15"/>
      <c r="K138" s="15"/>
      <c r="L138" s="15"/>
      <c r="M138" s="4">
        <v>252.27099999999999</v>
      </c>
      <c r="N138" s="5">
        <f>SUM(I138:M138)</f>
        <v>285.66300000000001</v>
      </c>
      <c r="W138" s="3" t="s">
        <v>176</v>
      </c>
      <c r="Y138" s="8" t="s">
        <v>169</v>
      </c>
    </row>
    <row r="139" spans="1:26" ht="30" x14ac:dyDescent="0.25">
      <c r="A139" s="10">
        <v>132</v>
      </c>
      <c r="B139" s="3" t="s">
        <v>67</v>
      </c>
      <c r="C139" s="3" t="s">
        <v>81</v>
      </c>
      <c r="D139" s="3" t="s">
        <v>177</v>
      </c>
      <c r="E139" s="3" t="s">
        <v>22</v>
      </c>
      <c r="F139" s="3" t="s">
        <v>41</v>
      </c>
      <c r="P139" s="3">
        <v>3.7</v>
      </c>
      <c r="U139" s="6">
        <f>SUM(P139:T139)</f>
        <v>3.7</v>
      </c>
      <c r="W139" s="3" t="s">
        <v>180</v>
      </c>
      <c r="Y139" s="3" t="s">
        <v>181</v>
      </c>
    </row>
    <row r="140" spans="1:26" ht="30" x14ac:dyDescent="0.25">
      <c r="A140" s="10">
        <v>133</v>
      </c>
      <c r="B140" s="3" t="s">
        <v>67</v>
      </c>
      <c r="C140" s="3" t="s">
        <v>81</v>
      </c>
      <c r="D140" s="3" t="s">
        <v>182</v>
      </c>
      <c r="E140" s="3" t="s">
        <v>22</v>
      </c>
      <c r="F140" s="3" t="s">
        <v>41</v>
      </c>
      <c r="P140" s="3">
        <v>3.4</v>
      </c>
      <c r="U140" s="6">
        <f>SUM(P140:T140)</f>
        <v>3.4</v>
      </c>
      <c r="W140" s="3" t="s">
        <v>183</v>
      </c>
      <c r="Y140" s="3" t="s">
        <v>181</v>
      </c>
    </row>
    <row r="141" spans="1:26" x14ac:dyDescent="0.25">
      <c r="A141" s="10">
        <v>134</v>
      </c>
      <c r="B141" s="3" t="s">
        <v>67</v>
      </c>
      <c r="C141" s="3" t="s">
        <v>81</v>
      </c>
      <c r="D141" s="3" t="s">
        <v>32</v>
      </c>
      <c r="E141" s="3" t="s">
        <v>160</v>
      </c>
      <c r="F141" s="3" t="s">
        <v>41</v>
      </c>
      <c r="I141" s="4">
        <v>62.662999999999997</v>
      </c>
      <c r="J141" s="15"/>
      <c r="K141" s="15"/>
      <c r="L141" s="15"/>
      <c r="M141" s="11"/>
      <c r="N141" s="5">
        <f>SUM(I141:M141)</f>
        <v>62.662999999999997</v>
      </c>
      <c r="W141" s="3" t="s">
        <v>176</v>
      </c>
      <c r="Y141" s="8" t="s">
        <v>169</v>
      </c>
    </row>
    <row r="142" spans="1:26" ht="60" x14ac:dyDescent="0.25">
      <c r="A142" s="10">
        <v>135</v>
      </c>
      <c r="B142" s="3" t="s">
        <v>67</v>
      </c>
      <c r="C142" s="3" t="s">
        <v>81</v>
      </c>
      <c r="D142" s="3" t="s">
        <v>184</v>
      </c>
      <c r="E142" s="3" t="s">
        <v>185</v>
      </c>
      <c r="P142" s="3">
        <v>2.8</v>
      </c>
      <c r="U142" s="6">
        <f>SUM(P142:T142)</f>
        <v>2.8</v>
      </c>
      <c r="W142" s="3" t="s">
        <v>178</v>
      </c>
      <c r="X142" s="3" t="s">
        <v>179</v>
      </c>
      <c r="Y142" s="8" t="s">
        <v>169</v>
      </c>
    </row>
    <row r="143" spans="1:26" ht="60" x14ac:dyDescent="0.25">
      <c r="A143" s="10">
        <v>136</v>
      </c>
      <c r="B143" s="3" t="s">
        <v>67</v>
      </c>
      <c r="C143" s="3" t="s">
        <v>81</v>
      </c>
      <c r="D143" s="3" t="s">
        <v>186</v>
      </c>
      <c r="E143" s="3" t="s">
        <v>632</v>
      </c>
      <c r="P143" s="3">
        <v>1.6</v>
      </c>
      <c r="U143" s="6">
        <f>SUM(P143:T143)</f>
        <v>1.6</v>
      </c>
      <c r="W143" s="3" t="s">
        <v>178</v>
      </c>
      <c r="X143" s="3" t="s">
        <v>179</v>
      </c>
      <c r="Y143" s="8" t="s">
        <v>169</v>
      </c>
    </row>
    <row r="144" spans="1:26" ht="45" x14ac:dyDescent="0.25">
      <c r="A144" s="10">
        <v>137</v>
      </c>
      <c r="B144" s="3" t="s">
        <v>67</v>
      </c>
      <c r="C144" s="3" t="s">
        <v>81</v>
      </c>
      <c r="D144" s="3" t="s">
        <v>177</v>
      </c>
      <c r="E144" s="3" t="s">
        <v>633</v>
      </c>
      <c r="P144" s="3">
        <v>3</v>
      </c>
      <c r="U144" s="6">
        <f>SUM(P144:T144)</f>
        <v>3</v>
      </c>
      <c r="W144" s="3" t="s">
        <v>187</v>
      </c>
      <c r="X144" s="3" t="s">
        <v>188</v>
      </c>
      <c r="Y144" s="8" t="s">
        <v>169</v>
      </c>
    </row>
    <row r="145" spans="1:25" ht="96.75" customHeight="1" x14ac:dyDescent="0.25">
      <c r="A145" s="10">
        <v>138</v>
      </c>
      <c r="B145" s="3" t="s">
        <v>67</v>
      </c>
      <c r="C145" s="3" t="s">
        <v>81</v>
      </c>
      <c r="D145" s="3" t="s">
        <v>184</v>
      </c>
      <c r="E145" s="3" t="s">
        <v>634</v>
      </c>
      <c r="P145" s="3">
        <v>0.7</v>
      </c>
      <c r="U145" s="6">
        <f>SUM(P145:T145)</f>
        <v>0.7</v>
      </c>
      <c r="W145" s="3" t="s">
        <v>178</v>
      </c>
      <c r="X145" s="3" t="s">
        <v>179</v>
      </c>
      <c r="Y145" s="8" t="s">
        <v>169</v>
      </c>
    </row>
    <row r="146" spans="1:25" ht="60" x14ac:dyDescent="0.25">
      <c r="A146" s="10">
        <v>139</v>
      </c>
      <c r="B146" s="3" t="s">
        <v>67</v>
      </c>
      <c r="C146" s="3" t="s">
        <v>81</v>
      </c>
      <c r="D146" s="3" t="s">
        <v>189</v>
      </c>
      <c r="E146" s="3" t="s">
        <v>635</v>
      </c>
      <c r="P146" s="3">
        <v>3.6</v>
      </c>
      <c r="U146" s="6">
        <f>SUM(P146:T146)</f>
        <v>3.6</v>
      </c>
      <c r="W146" s="3" t="s">
        <v>178</v>
      </c>
      <c r="X146" s="3" t="s">
        <v>179</v>
      </c>
      <c r="Y146" s="8" t="s">
        <v>169</v>
      </c>
    </row>
    <row r="147" spans="1:25" x14ac:dyDescent="0.25">
      <c r="A147" s="10">
        <v>140</v>
      </c>
      <c r="B147" s="3" t="s">
        <v>67</v>
      </c>
      <c r="C147" s="3" t="s">
        <v>190</v>
      </c>
      <c r="D147" s="3" t="s">
        <v>32</v>
      </c>
      <c r="E147" s="3" t="s">
        <v>191</v>
      </c>
      <c r="F147" s="3" t="s">
        <v>41</v>
      </c>
      <c r="N147" s="5">
        <v>81</v>
      </c>
      <c r="W147" s="3" t="s">
        <v>192</v>
      </c>
      <c r="Y147" s="29" t="s">
        <v>693</v>
      </c>
    </row>
    <row r="148" spans="1:25" x14ac:dyDescent="0.25">
      <c r="A148" s="10">
        <v>141</v>
      </c>
      <c r="B148" s="3" t="s">
        <v>67</v>
      </c>
      <c r="C148" s="3" t="s">
        <v>190</v>
      </c>
      <c r="D148" s="3" t="s">
        <v>32</v>
      </c>
      <c r="E148" s="3" t="s">
        <v>193</v>
      </c>
      <c r="F148" s="3" t="s">
        <v>41</v>
      </c>
      <c r="N148" s="5">
        <v>118</v>
      </c>
      <c r="W148" s="3" t="s">
        <v>192</v>
      </c>
      <c r="Y148" s="29" t="s">
        <v>693</v>
      </c>
    </row>
    <row r="149" spans="1:25" x14ac:dyDescent="0.25">
      <c r="A149" s="10">
        <v>142</v>
      </c>
      <c r="B149" s="3" t="s">
        <v>67</v>
      </c>
      <c r="C149" s="3" t="s">
        <v>190</v>
      </c>
      <c r="D149" s="3" t="s">
        <v>32</v>
      </c>
      <c r="E149" s="3" t="s">
        <v>194</v>
      </c>
      <c r="F149" s="3" t="s">
        <v>41</v>
      </c>
      <c r="N149" s="5">
        <v>68</v>
      </c>
      <c r="W149" s="3" t="s">
        <v>192</v>
      </c>
      <c r="Y149" s="29" t="s">
        <v>693</v>
      </c>
    </row>
    <row r="150" spans="1:25" ht="75" x14ac:dyDescent="0.25">
      <c r="A150" s="10">
        <v>143</v>
      </c>
      <c r="B150" s="3" t="s">
        <v>67</v>
      </c>
      <c r="C150" s="3" t="s">
        <v>190</v>
      </c>
      <c r="D150" s="3" t="s">
        <v>32</v>
      </c>
      <c r="E150" s="3" t="s">
        <v>195</v>
      </c>
      <c r="F150" s="3" t="s">
        <v>41</v>
      </c>
      <c r="N150" s="5">
        <v>158</v>
      </c>
      <c r="W150" s="3" t="s">
        <v>196</v>
      </c>
      <c r="X150" s="8"/>
      <c r="Y150" s="29" t="s">
        <v>693</v>
      </c>
    </row>
    <row r="151" spans="1:25" x14ac:dyDescent="0.25">
      <c r="A151" s="10">
        <v>144</v>
      </c>
      <c r="B151" s="3" t="s">
        <v>67</v>
      </c>
      <c r="C151" s="3" t="s">
        <v>197</v>
      </c>
      <c r="D151" s="3" t="s">
        <v>198</v>
      </c>
      <c r="F151" s="3" t="s">
        <v>41</v>
      </c>
      <c r="H151" s="3">
        <v>20</v>
      </c>
      <c r="I151" s="4">
        <f>2*10</f>
        <v>20</v>
      </c>
      <c r="N151" s="5">
        <f>SUM(I151:M151)</f>
        <v>20</v>
      </c>
      <c r="W151" s="3" t="s">
        <v>42</v>
      </c>
      <c r="Y151" s="8" t="s">
        <v>43</v>
      </c>
    </row>
    <row r="152" spans="1:25" ht="30" x14ac:dyDescent="0.25">
      <c r="A152" s="10">
        <v>145</v>
      </c>
      <c r="B152" s="3" t="s">
        <v>67</v>
      </c>
      <c r="C152" s="3" t="s">
        <v>199</v>
      </c>
      <c r="E152" s="3" t="s">
        <v>22</v>
      </c>
      <c r="I152" s="4">
        <f>800*12/44</f>
        <v>218.18181818181819</v>
      </c>
      <c r="N152" s="5">
        <f>SUM(Table3[[#This Row],[Biomass Above Ground]:[ Soil carbon]])</f>
        <v>218.18181818181819</v>
      </c>
      <c r="O152" s="4" t="s">
        <v>85</v>
      </c>
      <c r="P152" s="4">
        <f>6*12/44</f>
        <v>1.6363636363636365</v>
      </c>
      <c r="U152" s="6">
        <f>SUM(Table3[[#This Row],[Sequestration rate Above ground]:[Sequestration rate, Soil]])</f>
        <v>1.6363636363636365</v>
      </c>
      <c r="W152" s="3" t="s">
        <v>86</v>
      </c>
      <c r="X152" s="3" t="s">
        <v>25</v>
      </c>
      <c r="Y152" s="8" t="s">
        <v>26</v>
      </c>
    </row>
    <row r="153" spans="1:25" x14ac:dyDescent="0.25">
      <c r="A153" s="10">
        <v>146</v>
      </c>
      <c r="B153" s="3" t="s">
        <v>67</v>
      </c>
      <c r="C153" s="3" t="s">
        <v>200</v>
      </c>
      <c r="D153" s="3" t="s">
        <v>82</v>
      </c>
      <c r="E153" s="3" t="s">
        <v>28</v>
      </c>
      <c r="F153" s="3" t="s">
        <v>41</v>
      </c>
      <c r="I153" s="4">
        <v>65</v>
      </c>
      <c r="J153" s="3">
        <v>13</v>
      </c>
      <c r="K153" s="3">
        <v>21</v>
      </c>
      <c r="L153" s="3">
        <v>12</v>
      </c>
      <c r="M153" s="4">
        <v>128</v>
      </c>
      <c r="N153" s="5">
        <f>SUM(I153:M153)</f>
        <v>239</v>
      </c>
      <c r="W153" s="3" t="s">
        <v>30</v>
      </c>
      <c r="Y153" s="29" t="s">
        <v>31</v>
      </c>
    </row>
    <row r="154" spans="1:25" x14ac:dyDescent="0.25">
      <c r="A154" s="10">
        <v>147</v>
      </c>
      <c r="B154" s="3" t="s">
        <v>67</v>
      </c>
      <c r="C154" s="3" t="s">
        <v>200</v>
      </c>
      <c r="D154" s="3" t="s">
        <v>82</v>
      </c>
      <c r="I154" s="11">
        <v>62</v>
      </c>
      <c r="J154" s="3">
        <v>13</v>
      </c>
      <c r="L154" s="3">
        <v>12</v>
      </c>
      <c r="N154" s="5">
        <f>SUM(I154:M154)</f>
        <v>87</v>
      </c>
      <c r="W154" s="3" t="s">
        <v>83</v>
      </c>
      <c r="Y154" s="8" t="s">
        <v>31</v>
      </c>
    </row>
    <row r="155" spans="1:25" x14ac:dyDescent="0.25">
      <c r="A155" s="10">
        <v>148</v>
      </c>
      <c r="B155" s="3" t="s">
        <v>67</v>
      </c>
      <c r="C155" s="3" t="s">
        <v>200</v>
      </c>
      <c r="D155" s="3" t="s">
        <v>82</v>
      </c>
      <c r="I155" s="11"/>
      <c r="L155" s="3">
        <v>15</v>
      </c>
      <c r="M155" s="4">
        <v>127</v>
      </c>
      <c r="N155" s="5">
        <f>SUM(I155:M155)</f>
        <v>142</v>
      </c>
      <c r="W155" s="3" t="s">
        <v>116</v>
      </c>
      <c r="Y155" s="8" t="s">
        <v>31</v>
      </c>
    </row>
    <row r="156" spans="1:25" ht="30" x14ac:dyDescent="0.25">
      <c r="A156" s="10">
        <v>149</v>
      </c>
      <c r="B156" s="3" t="s">
        <v>67</v>
      </c>
      <c r="C156" s="3" t="s">
        <v>201</v>
      </c>
      <c r="E156" s="3" t="s">
        <v>22</v>
      </c>
      <c r="I156" s="4">
        <f>200*12/44</f>
        <v>54.545454545454547</v>
      </c>
      <c r="N156" s="5">
        <f>SUM(Table3[[#This Row],[Biomass Above Ground]:[ Soil carbon]])</f>
        <v>54.545454545454547</v>
      </c>
      <c r="O156" s="4" t="s">
        <v>85</v>
      </c>
      <c r="P156" s="4">
        <f>29*12/44</f>
        <v>7.9090909090909092</v>
      </c>
      <c r="U156" s="6">
        <f>SUM(Table3[[#This Row],[Sequestration rate Above ground]:[Sequestration rate, Soil]])</f>
        <v>7.9090909090909092</v>
      </c>
      <c r="W156" s="3" t="s">
        <v>86</v>
      </c>
      <c r="X156" s="3" t="s">
        <v>25</v>
      </c>
      <c r="Y156" s="8" t="s">
        <v>26</v>
      </c>
    </row>
    <row r="157" spans="1:25" x14ac:dyDescent="0.25">
      <c r="A157" s="10">
        <v>218</v>
      </c>
      <c r="B157" s="19" t="s">
        <v>67</v>
      </c>
      <c r="C157" s="3" t="s">
        <v>281</v>
      </c>
      <c r="D157" s="3" t="s">
        <v>282</v>
      </c>
      <c r="E157" s="3" t="s">
        <v>283</v>
      </c>
      <c r="F157" s="3" t="s">
        <v>41</v>
      </c>
      <c r="H157" s="3">
        <v>6</v>
      </c>
      <c r="I157" s="4">
        <f>6*10</f>
        <v>60</v>
      </c>
      <c r="N157" s="5">
        <f>SUM(I157:M157)</f>
        <v>60</v>
      </c>
      <c r="W157" s="3" t="s">
        <v>42</v>
      </c>
      <c r="Y157" s="8" t="s">
        <v>43</v>
      </c>
    </row>
    <row r="158" spans="1:25" ht="30" x14ac:dyDescent="0.25">
      <c r="A158" s="10">
        <v>219</v>
      </c>
      <c r="B158" s="19" t="s">
        <v>67</v>
      </c>
      <c r="C158" s="3" t="s">
        <v>281</v>
      </c>
      <c r="D158" s="3" t="s">
        <v>284</v>
      </c>
      <c r="E158" s="3" t="s">
        <v>285</v>
      </c>
      <c r="F158" s="3" t="s">
        <v>41</v>
      </c>
      <c r="H158" s="3">
        <v>10</v>
      </c>
      <c r="I158" s="4">
        <f>5*10</f>
        <v>50</v>
      </c>
      <c r="N158" s="5">
        <f>SUM(I158:M158)</f>
        <v>50</v>
      </c>
      <c r="W158" s="3" t="s">
        <v>42</v>
      </c>
      <c r="Y158" s="8" t="s">
        <v>43</v>
      </c>
    </row>
    <row r="159" spans="1:25" ht="60" x14ac:dyDescent="0.25">
      <c r="A159" s="10">
        <v>315</v>
      </c>
      <c r="B159" s="3" t="s">
        <v>67</v>
      </c>
      <c r="C159" s="3" t="s">
        <v>104</v>
      </c>
      <c r="D159" s="3" t="s">
        <v>105</v>
      </c>
      <c r="E159" s="3" t="s">
        <v>106</v>
      </c>
      <c r="H159" s="3">
        <v>12</v>
      </c>
      <c r="P159" s="3">
        <v>0.8</v>
      </c>
      <c r="U159" s="6">
        <f>SUM(P159:T159)</f>
        <v>0.8</v>
      </c>
      <c r="V159" s="3" t="s">
        <v>439</v>
      </c>
      <c r="W159" s="3" t="s">
        <v>61</v>
      </c>
      <c r="Y159" s="29" t="s">
        <v>684</v>
      </c>
    </row>
    <row r="160" spans="1:25" ht="60" x14ac:dyDescent="0.25">
      <c r="A160" s="10">
        <v>376</v>
      </c>
      <c r="B160" s="3" t="s">
        <v>67</v>
      </c>
      <c r="C160" s="3" t="s">
        <v>522</v>
      </c>
      <c r="E160" s="3" t="s">
        <v>283</v>
      </c>
      <c r="M160" s="4">
        <v>200</v>
      </c>
      <c r="N160" s="5">
        <f>SUM(Table3[[#This Row],[Biomass Above Ground]:[ Soil carbon]])</f>
        <v>200</v>
      </c>
      <c r="W160" s="3" t="s">
        <v>523</v>
      </c>
      <c r="X160" s="3" t="s">
        <v>524</v>
      </c>
      <c r="Y160" s="8" t="s">
        <v>525</v>
      </c>
    </row>
    <row r="161" spans="1:25" ht="60" x14ac:dyDescent="0.25">
      <c r="A161" s="10">
        <v>377</v>
      </c>
      <c r="B161" s="3" t="s">
        <v>67</v>
      </c>
      <c r="C161" s="3" t="s">
        <v>526</v>
      </c>
      <c r="E161" s="3" t="s">
        <v>283</v>
      </c>
      <c r="M161" s="4">
        <v>100</v>
      </c>
      <c r="N161" s="5">
        <f>SUM(Table3[[#This Row],[Biomass Above Ground]:[ Soil carbon]])</f>
        <v>100</v>
      </c>
      <c r="W161" s="3" t="s">
        <v>523</v>
      </c>
      <c r="X161" s="3" t="s">
        <v>524</v>
      </c>
      <c r="Y161" s="8" t="s">
        <v>525</v>
      </c>
    </row>
    <row r="162" spans="1:25" ht="60" x14ac:dyDescent="0.25">
      <c r="A162" s="19">
        <v>378</v>
      </c>
      <c r="B162" s="3" t="s">
        <v>67</v>
      </c>
      <c r="C162" s="3" t="s">
        <v>527</v>
      </c>
      <c r="D162" s="3" t="s">
        <v>528</v>
      </c>
      <c r="E162" s="3" t="s">
        <v>529</v>
      </c>
      <c r="K162" s="3">
        <v>5</v>
      </c>
      <c r="N162" s="5">
        <f>SUM(Table3[[#This Row],[Biomass Above Ground]:[ Soil carbon]])</f>
        <v>5</v>
      </c>
      <c r="W162" s="3" t="s">
        <v>530</v>
      </c>
      <c r="X162" s="3" t="s">
        <v>524</v>
      </c>
      <c r="Y162" s="8" t="s">
        <v>525</v>
      </c>
    </row>
    <row r="163" spans="1:25" ht="45" x14ac:dyDescent="0.25">
      <c r="A163" s="19">
        <v>379</v>
      </c>
      <c r="B163" s="3" t="s">
        <v>67</v>
      </c>
      <c r="C163" s="3" t="s">
        <v>527</v>
      </c>
      <c r="D163" s="3" t="s">
        <v>531</v>
      </c>
      <c r="E163" s="3" t="s">
        <v>532</v>
      </c>
      <c r="K163" s="3">
        <v>36</v>
      </c>
      <c r="N163" s="5">
        <f>SUM(Table3[[#This Row],[Biomass Above Ground]:[ Soil carbon]])</f>
        <v>36</v>
      </c>
      <c r="O163" s="4" t="s">
        <v>77</v>
      </c>
      <c r="W163" s="3" t="s">
        <v>524</v>
      </c>
      <c r="Y163" s="8" t="s">
        <v>525</v>
      </c>
    </row>
    <row r="164" spans="1:25" ht="45" x14ac:dyDescent="0.25">
      <c r="A164" s="19">
        <v>380</v>
      </c>
      <c r="B164" s="3" t="s">
        <v>67</v>
      </c>
      <c r="C164" s="3" t="s">
        <v>527</v>
      </c>
      <c r="D164" s="3" t="s">
        <v>531</v>
      </c>
      <c r="E164" s="3" t="s">
        <v>532</v>
      </c>
      <c r="K164" s="3">
        <v>72</v>
      </c>
      <c r="N164" s="5">
        <f>SUM(Table3[[#This Row],[Biomass Above Ground]:[ Soil carbon]])</f>
        <v>72</v>
      </c>
      <c r="O164" s="4" t="s">
        <v>78</v>
      </c>
      <c r="W164" s="3" t="s">
        <v>524</v>
      </c>
      <c r="Y164" s="8" t="s">
        <v>525</v>
      </c>
    </row>
    <row r="165" spans="1:25" ht="45" x14ac:dyDescent="0.25">
      <c r="A165" s="19">
        <v>381</v>
      </c>
      <c r="B165" s="3" t="s">
        <v>67</v>
      </c>
      <c r="C165" s="3" t="s">
        <v>527</v>
      </c>
      <c r="D165" s="3" t="s">
        <v>531</v>
      </c>
      <c r="E165" s="3" t="s">
        <v>533</v>
      </c>
      <c r="K165" s="3">
        <v>30</v>
      </c>
      <c r="N165" s="5">
        <f>SUM(Table3[[#This Row],[Biomass Above Ground]:[ Soil carbon]])</f>
        <v>30</v>
      </c>
      <c r="O165" s="4" t="s">
        <v>77</v>
      </c>
      <c r="W165" s="3" t="s">
        <v>524</v>
      </c>
      <c r="Y165" s="8" t="s">
        <v>525</v>
      </c>
    </row>
    <row r="166" spans="1:25" ht="45" x14ac:dyDescent="0.25">
      <c r="A166" s="19">
        <v>382</v>
      </c>
      <c r="B166" s="3" t="s">
        <v>67</v>
      </c>
      <c r="C166" s="3" t="s">
        <v>527</v>
      </c>
      <c r="D166" s="3" t="s">
        <v>531</v>
      </c>
      <c r="E166" s="3" t="s">
        <v>533</v>
      </c>
      <c r="K166" s="3">
        <v>48</v>
      </c>
      <c r="N166" s="5">
        <f>SUM(Table3[[#This Row],[Biomass Above Ground]:[ Soil carbon]])</f>
        <v>48</v>
      </c>
      <c r="O166" s="4" t="s">
        <v>78</v>
      </c>
      <c r="W166" s="3" t="s">
        <v>524</v>
      </c>
      <c r="Y166" s="8" t="s">
        <v>525</v>
      </c>
    </row>
    <row r="167" spans="1:25" ht="45" x14ac:dyDescent="0.25">
      <c r="A167" s="19">
        <v>383</v>
      </c>
      <c r="B167" s="3" t="s">
        <v>67</v>
      </c>
      <c r="C167" s="3" t="s">
        <v>527</v>
      </c>
      <c r="D167" s="3" t="s">
        <v>531</v>
      </c>
      <c r="E167" s="3" t="s">
        <v>534</v>
      </c>
      <c r="K167" s="3">
        <v>12</v>
      </c>
      <c r="N167" s="5">
        <f>SUM(Table3[[#This Row],[Biomass Above Ground]:[ Soil carbon]])</f>
        <v>12</v>
      </c>
      <c r="W167" s="3" t="s">
        <v>524</v>
      </c>
      <c r="Y167" s="8" t="s">
        <v>525</v>
      </c>
    </row>
    <row r="168" spans="1:25" ht="60" x14ac:dyDescent="0.25">
      <c r="A168" s="19">
        <v>384</v>
      </c>
      <c r="B168" s="3" t="s">
        <v>67</v>
      </c>
      <c r="C168" s="3" t="s">
        <v>527</v>
      </c>
      <c r="D168" s="3" t="s">
        <v>535</v>
      </c>
      <c r="E168" s="3" t="s">
        <v>413</v>
      </c>
      <c r="K168" s="3">
        <v>21</v>
      </c>
      <c r="N168" s="5">
        <f>SUM(Table3[[#This Row],[Biomass Above Ground]:[ Soil carbon]])</f>
        <v>21</v>
      </c>
      <c r="W168" s="3" t="s">
        <v>536</v>
      </c>
      <c r="X168" s="3" t="s">
        <v>524</v>
      </c>
      <c r="Y168" s="8" t="s">
        <v>525</v>
      </c>
    </row>
    <row r="169" spans="1:25" ht="60" x14ac:dyDescent="0.25">
      <c r="A169" s="19">
        <v>385</v>
      </c>
      <c r="B169" s="3" t="s">
        <v>67</v>
      </c>
      <c r="C169" s="3" t="s">
        <v>38</v>
      </c>
      <c r="E169" s="3" t="s">
        <v>181</v>
      </c>
      <c r="P169" s="3">
        <f>8.8/100</f>
        <v>8.8000000000000009E-2</v>
      </c>
      <c r="T169" s="3">
        <f>40/100</f>
        <v>0.4</v>
      </c>
      <c r="U169" s="6">
        <f>SUM(Table3[[#This Row],[Sequestration rate Above ground]:[Sequestration rate, Soil]])</f>
        <v>0.48800000000000004</v>
      </c>
      <c r="W169" s="3" t="s">
        <v>537</v>
      </c>
      <c r="X169" s="3" t="s">
        <v>524</v>
      </c>
      <c r="Y169" s="8" t="s">
        <v>525</v>
      </c>
    </row>
    <row r="170" spans="1:25" x14ac:dyDescent="0.25">
      <c r="A170" s="10">
        <v>150</v>
      </c>
      <c r="B170" s="3" t="s">
        <v>46</v>
      </c>
      <c r="C170" s="3" t="s">
        <v>202</v>
      </c>
      <c r="D170" s="3" t="s">
        <v>21</v>
      </c>
      <c r="E170" s="3" t="s">
        <v>22</v>
      </c>
      <c r="I170" s="4">
        <v>1</v>
      </c>
      <c r="M170" s="4">
        <v>87</v>
      </c>
      <c r="N170" s="5">
        <f>SUM(Table3[[#This Row],[Biomass Above Ground]:[ Soil carbon]])</f>
        <v>88</v>
      </c>
      <c r="O170" s="4" t="s">
        <v>23</v>
      </c>
      <c r="W170" s="3" t="s">
        <v>24</v>
      </c>
      <c r="X170" s="3" t="s">
        <v>25</v>
      </c>
      <c r="Y170" s="8" t="s">
        <v>26</v>
      </c>
    </row>
    <row r="171" spans="1:25" x14ac:dyDescent="0.25">
      <c r="A171" s="10">
        <v>151</v>
      </c>
      <c r="B171" s="3" t="s">
        <v>46</v>
      </c>
      <c r="C171" s="3" t="s">
        <v>203</v>
      </c>
      <c r="E171" s="3" t="s">
        <v>22</v>
      </c>
      <c r="N171" s="5">
        <v>117</v>
      </c>
      <c r="W171" s="3" t="s">
        <v>204</v>
      </c>
      <c r="X171" s="3" t="s">
        <v>25</v>
      </c>
      <c r="Y171" s="8" t="s">
        <v>26</v>
      </c>
    </row>
    <row r="172" spans="1:25" ht="30" x14ac:dyDescent="0.25">
      <c r="A172" s="10">
        <v>152</v>
      </c>
      <c r="B172" s="3" t="s">
        <v>46</v>
      </c>
      <c r="C172" s="3" t="s">
        <v>205</v>
      </c>
      <c r="D172" s="3" t="s">
        <v>206</v>
      </c>
      <c r="E172" s="3" t="s">
        <v>28</v>
      </c>
      <c r="I172" s="11">
        <v>1</v>
      </c>
      <c r="N172" s="5">
        <f>SUM(I172:M172)</f>
        <v>1</v>
      </c>
      <c r="W172" s="3" t="s">
        <v>207</v>
      </c>
      <c r="Y172" s="8" t="s">
        <v>31</v>
      </c>
    </row>
    <row r="173" spans="1:25" ht="30" x14ac:dyDescent="0.25">
      <c r="A173" s="10">
        <v>153</v>
      </c>
      <c r="B173" s="3" t="s">
        <v>46</v>
      </c>
      <c r="C173" s="3" t="s">
        <v>205</v>
      </c>
      <c r="D173" s="3" t="s">
        <v>206</v>
      </c>
      <c r="E173" s="3" t="s">
        <v>28</v>
      </c>
      <c r="I173" s="11">
        <v>3</v>
      </c>
      <c r="N173" s="5">
        <f>SUM(I173:M173)</f>
        <v>3</v>
      </c>
      <c r="W173" s="3" t="s">
        <v>207</v>
      </c>
      <c r="Y173" s="8" t="s">
        <v>31</v>
      </c>
    </row>
    <row r="174" spans="1:25" ht="30" x14ac:dyDescent="0.25">
      <c r="A174" s="10">
        <v>154</v>
      </c>
      <c r="B174" s="3" t="s">
        <v>46</v>
      </c>
      <c r="C174" s="3" t="s">
        <v>205</v>
      </c>
      <c r="D174" s="3" t="s">
        <v>206</v>
      </c>
      <c r="E174" s="3" t="s">
        <v>28</v>
      </c>
      <c r="I174" s="11">
        <v>1</v>
      </c>
      <c r="N174" s="5">
        <f>SUM(I174:M174)</f>
        <v>1</v>
      </c>
      <c r="W174" s="3" t="s">
        <v>208</v>
      </c>
      <c r="Y174" s="8" t="s">
        <v>31</v>
      </c>
    </row>
    <row r="175" spans="1:25" ht="30" x14ac:dyDescent="0.25">
      <c r="A175" s="10">
        <v>155</v>
      </c>
      <c r="B175" s="3" t="s">
        <v>46</v>
      </c>
      <c r="C175" s="3" t="s">
        <v>205</v>
      </c>
      <c r="D175" s="3" t="s">
        <v>206</v>
      </c>
      <c r="E175" s="3" t="s">
        <v>28</v>
      </c>
      <c r="I175" s="11">
        <v>3</v>
      </c>
      <c r="N175" s="5">
        <f>SUM(I175:M175)</f>
        <v>3</v>
      </c>
      <c r="W175" s="3" t="s">
        <v>208</v>
      </c>
      <c r="Y175" s="8" t="s">
        <v>31</v>
      </c>
    </row>
    <row r="176" spans="1:25" ht="30" x14ac:dyDescent="0.25">
      <c r="A176" s="10">
        <v>156</v>
      </c>
      <c r="B176" s="3" t="s">
        <v>46</v>
      </c>
      <c r="C176" s="3" t="s">
        <v>205</v>
      </c>
      <c r="D176" s="3" t="s">
        <v>206</v>
      </c>
      <c r="E176" s="3" t="s">
        <v>28</v>
      </c>
      <c r="I176" s="11"/>
      <c r="M176" s="4">
        <v>114</v>
      </c>
      <c r="N176" s="5">
        <f>SUM(I176:M176)</f>
        <v>114</v>
      </c>
      <c r="W176" s="3" t="s">
        <v>116</v>
      </c>
      <c r="Y176" s="8" t="s">
        <v>31</v>
      </c>
    </row>
    <row r="177" spans="1:25" ht="30" x14ac:dyDescent="0.25">
      <c r="A177" s="10">
        <v>157</v>
      </c>
      <c r="B177" s="3" t="s">
        <v>46</v>
      </c>
      <c r="C177" s="3" t="s">
        <v>205</v>
      </c>
      <c r="D177" s="3" t="s">
        <v>206</v>
      </c>
      <c r="E177" s="3" t="s">
        <v>28</v>
      </c>
      <c r="I177" s="11">
        <v>2</v>
      </c>
      <c r="W177" s="3" t="s">
        <v>209</v>
      </c>
      <c r="Y177" s="8" t="s">
        <v>210</v>
      </c>
    </row>
    <row r="178" spans="1:25" ht="30" x14ac:dyDescent="0.25">
      <c r="A178" s="10">
        <v>158</v>
      </c>
      <c r="B178" s="3" t="s">
        <v>46</v>
      </c>
      <c r="C178" s="3" t="s">
        <v>205</v>
      </c>
      <c r="D178" s="3" t="s">
        <v>206</v>
      </c>
      <c r="E178" s="3" t="s">
        <v>28</v>
      </c>
      <c r="F178" s="3" t="s">
        <v>41</v>
      </c>
      <c r="I178" s="4">
        <v>2</v>
      </c>
      <c r="J178" s="3">
        <v>3</v>
      </c>
      <c r="M178" s="4">
        <v>114</v>
      </c>
      <c r="N178" s="5">
        <f>SUM(I178:M178)</f>
        <v>119</v>
      </c>
      <c r="W178" s="3" t="s">
        <v>30</v>
      </c>
      <c r="Y178" s="29" t="s">
        <v>31</v>
      </c>
    </row>
    <row r="179" spans="1:25" x14ac:dyDescent="0.25">
      <c r="A179" s="10">
        <v>159</v>
      </c>
      <c r="B179" s="3" t="s">
        <v>46</v>
      </c>
      <c r="C179" s="3" t="s">
        <v>38</v>
      </c>
      <c r="E179" s="3" t="s">
        <v>22</v>
      </c>
      <c r="U179" s="6">
        <v>0.24199999999999999</v>
      </c>
      <c r="W179" s="3" t="s">
        <v>211</v>
      </c>
      <c r="X179" s="3" t="s">
        <v>25</v>
      </c>
      <c r="Y179" s="8" t="s">
        <v>26</v>
      </c>
    </row>
    <row r="180" spans="1:25" x14ac:dyDescent="0.25">
      <c r="A180" s="10">
        <v>160</v>
      </c>
      <c r="B180" s="3" t="s">
        <v>46</v>
      </c>
      <c r="C180" s="3" t="s">
        <v>212</v>
      </c>
      <c r="E180" s="3" t="s">
        <v>22</v>
      </c>
      <c r="N180" s="5">
        <v>438</v>
      </c>
      <c r="W180" s="3" t="s">
        <v>204</v>
      </c>
      <c r="X180" s="3" t="s">
        <v>25</v>
      </c>
      <c r="Y180" s="8" t="s">
        <v>26</v>
      </c>
    </row>
    <row r="181" spans="1:25" x14ac:dyDescent="0.25">
      <c r="A181" s="10">
        <v>161</v>
      </c>
      <c r="B181" s="3" t="s">
        <v>46</v>
      </c>
      <c r="C181" s="3" t="s">
        <v>213</v>
      </c>
      <c r="D181" s="3" t="s">
        <v>21</v>
      </c>
      <c r="E181" s="3" t="s">
        <v>22</v>
      </c>
      <c r="I181" s="4">
        <v>1</v>
      </c>
      <c r="M181" s="4">
        <v>60</v>
      </c>
      <c r="N181" s="5">
        <f>SUM(Table3[[#This Row],[Biomass Above Ground]:[ Soil carbon]])</f>
        <v>61</v>
      </c>
      <c r="O181" s="4" t="s">
        <v>23</v>
      </c>
      <c r="W181" s="3" t="s">
        <v>24</v>
      </c>
      <c r="X181" s="3" t="s">
        <v>25</v>
      </c>
      <c r="Y181" s="8" t="s">
        <v>26</v>
      </c>
    </row>
    <row r="182" spans="1:25" ht="180" x14ac:dyDescent="0.25">
      <c r="A182" s="10">
        <v>162</v>
      </c>
      <c r="B182" s="3" t="s">
        <v>46</v>
      </c>
      <c r="C182" s="3" t="s">
        <v>214</v>
      </c>
      <c r="D182" s="3" t="s">
        <v>215</v>
      </c>
      <c r="E182" s="3" t="s">
        <v>216</v>
      </c>
      <c r="W182" s="3" t="s">
        <v>217</v>
      </c>
      <c r="Y182" s="8" t="s">
        <v>218</v>
      </c>
    </row>
    <row r="183" spans="1:25" x14ac:dyDescent="0.25">
      <c r="A183" s="10">
        <v>163</v>
      </c>
      <c r="B183" s="3" t="s">
        <v>46</v>
      </c>
      <c r="C183" s="3" t="s">
        <v>219</v>
      </c>
      <c r="E183" s="3" t="s">
        <v>22</v>
      </c>
      <c r="N183" s="5">
        <v>193</v>
      </c>
      <c r="W183" s="3" t="s">
        <v>204</v>
      </c>
      <c r="X183" s="3" t="s">
        <v>25</v>
      </c>
      <c r="Y183" s="8" t="s">
        <v>26</v>
      </c>
    </row>
    <row r="184" spans="1:25" x14ac:dyDescent="0.25">
      <c r="A184" s="10">
        <v>164</v>
      </c>
      <c r="B184" s="3" t="s">
        <v>46</v>
      </c>
      <c r="C184" s="3" t="s">
        <v>220</v>
      </c>
      <c r="D184" s="3" t="s">
        <v>206</v>
      </c>
      <c r="E184" s="3" t="s">
        <v>28</v>
      </c>
      <c r="F184" s="3" t="s">
        <v>41</v>
      </c>
      <c r="I184" s="4">
        <v>3.5</v>
      </c>
      <c r="J184" s="3">
        <v>5.3</v>
      </c>
      <c r="M184" s="4">
        <v>139</v>
      </c>
      <c r="N184" s="5">
        <f t="shared" ref="N184:N205" si="3">SUM(I184:M184)</f>
        <v>147.80000000000001</v>
      </c>
      <c r="W184" s="3" t="s">
        <v>30</v>
      </c>
      <c r="Y184" s="29" t="s">
        <v>31</v>
      </c>
    </row>
    <row r="185" spans="1:25" x14ac:dyDescent="0.25">
      <c r="A185" s="10">
        <v>165</v>
      </c>
      <c r="B185" s="3" t="s">
        <v>46</v>
      </c>
      <c r="C185" s="3" t="s">
        <v>220</v>
      </c>
      <c r="D185" s="3" t="s">
        <v>206</v>
      </c>
      <c r="E185" s="3" t="s">
        <v>28</v>
      </c>
      <c r="I185" s="11">
        <v>1</v>
      </c>
      <c r="N185" s="5">
        <f t="shared" si="3"/>
        <v>1</v>
      </c>
      <c r="W185" s="3" t="s">
        <v>221</v>
      </c>
      <c r="Y185" s="8" t="s">
        <v>31</v>
      </c>
    </row>
    <row r="186" spans="1:25" x14ac:dyDescent="0.25">
      <c r="A186" s="10">
        <v>166</v>
      </c>
      <c r="B186" s="3" t="s">
        <v>46</v>
      </c>
      <c r="C186" s="3" t="s">
        <v>220</v>
      </c>
      <c r="D186" s="3" t="s">
        <v>206</v>
      </c>
      <c r="E186" s="3" t="s">
        <v>28</v>
      </c>
      <c r="I186" s="11">
        <v>6</v>
      </c>
      <c r="N186" s="5">
        <f t="shared" si="3"/>
        <v>6</v>
      </c>
      <c r="W186" s="3" t="s">
        <v>221</v>
      </c>
      <c r="Y186" s="8" t="s">
        <v>31</v>
      </c>
    </row>
    <row r="187" spans="1:25" x14ac:dyDescent="0.25">
      <c r="A187" s="10">
        <v>167</v>
      </c>
      <c r="B187" s="3" t="s">
        <v>46</v>
      </c>
      <c r="C187" s="3" t="s">
        <v>220</v>
      </c>
      <c r="D187" s="3" t="s">
        <v>206</v>
      </c>
      <c r="I187" s="11"/>
      <c r="M187" s="4">
        <v>138</v>
      </c>
      <c r="N187" s="5">
        <f t="shared" si="3"/>
        <v>138</v>
      </c>
      <c r="W187" s="3" t="s">
        <v>116</v>
      </c>
      <c r="Y187" s="8" t="s">
        <v>31</v>
      </c>
    </row>
    <row r="188" spans="1:25" ht="45" x14ac:dyDescent="0.25">
      <c r="A188" s="10">
        <v>168</v>
      </c>
      <c r="B188" s="3" t="s">
        <v>46</v>
      </c>
      <c r="C188" s="3" t="s">
        <v>222</v>
      </c>
      <c r="E188" s="3" t="s">
        <v>223</v>
      </c>
      <c r="F188" s="17"/>
      <c r="G188" s="17"/>
      <c r="H188" s="18">
        <v>4</v>
      </c>
      <c r="I188" s="11">
        <v>1</v>
      </c>
      <c r="N188" s="5">
        <f t="shared" si="3"/>
        <v>1</v>
      </c>
      <c r="W188" s="3" t="s">
        <v>61</v>
      </c>
      <c r="Y188" s="29" t="s">
        <v>684</v>
      </c>
    </row>
    <row r="189" spans="1:25" ht="45" x14ac:dyDescent="0.25">
      <c r="A189" s="10">
        <v>169</v>
      </c>
      <c r="B189" s="3" t="s">
        <v>46</v>
      </c>
      <c r="C189" s="3" t="s">
        <v>222</v>
      </c>
      <c r="E189" s="3" t="s">
        <v>223</v>
      </c>
      <c r="F189" s="17"/>
      <c r="G189" s="17"/>
      <c r="H189" s="18">
        <v>6</v>
      </c>
      <c r="I189" s="11">
        <v>2</v>
      </c>
      <c r="N189" s="5">
        <f t="shared" si="3"/>
        <v>2</v>
      </c>
      <c r="W189" s="3" t="s">
        <v>61</v>
      </c>
      <c r="Y189" s="29" t="s">
        <v>684</v>
      </c>
    </row>
    <row r="190" spans="1:25" ht="30" x14ac:dyDescent="0.25">
      <c r="A190" s="10">
        <v>170</v>
      </c>
      <c r="B190" s="3" t="s">
        <v>46</v>
      </c>
      <c r="C190" s="3" t="s">
        <v>224</v>
      </c>
      <c r="E190" s="3" t="s">
        <v>223</v>
      </c>
      <c r="F190" s="18"/>
      <c r="G190" s="18"/>
      <c r="H190" s="18">
        <v>17</v>
      </c>
      <c r="I190" s="4">
        <v>40</v>
      </c>
      <c r="N190" s="5">
        <f t="shared" si="3"/>
        <v>40</v>
      </c>
      <c r="W190" s="3" t="s">
        <v>61</v>
      </c>
      <c r="Y190" s="29" t="s">
        <v>684</v>
      </c>
    </row>
    <row r="191" spans="1:25" ht="30" x14ac:dyDescent="0.25">
      <c r="A191" s="10">
        <v>171</v>
      </c>
      <c r="B191" s="3" t="s">
        <v>46</v>
      </c>
      <c r="C191" s="3" t="s">
        <v>224</v>
      </c>
      <c r="E191" s="3" t="s">
        <v>223</v>
      </c>
      <c r="F191" s="18"/>
      <c r="G191" s="18"/>
      <c r="H191" s="18">
        <v>30</v>
      </c>
      <c r="I191" s="4">
        <v>120</v>
      </c>
      <c r="N191" s="5">
        <f t="shared" si="3"/>
        <v>120</v>
      </c>
      <c r="W191" s="3" t="s">
        <v>61</v>
      </c>
      <c r="Y191" s="29" t="s">
        <v>684</v>
      </c>
    </row>
    <row r="192" spans="1:25" ht="45" x14ac:dyDescent="0.25">
      <c r="A192" s="10">
        <v>172</v>
      </c>
      <c r="B192" s="3" t="s">
        <v>46</v>
      </c>
      <c r="C192" s="3" t="s">
        <v>225</v>
      </c>
      <c r="E192" s="3" t="s">
        <v>223</v>
      </c>
      <c r="F192" s="18"/>
      <c r="G192" s="18"/>
      <c r="H192" s="18">
        <v>6</v>
      </c>
      <c r="I192" s="11">
        <v>2</v>
      </c>
      <c r="N192" s="5">
        <f t="shared" si="3"/>
        <v>2</v>
      </c>
      <c r="W192" s="3" t="s">
        <v>61</v>
      </c>
      <c r="Y192" s="29" t="s">
        <v>684</v>
      </c>
    </row>
    <row r="193" spans="1:25" ht="45" x14ac:dyDescent="0.25">
      <c r="A193" s="10">
        <v>173</v>
      </c>
      <c r="B193" s="3" t="s">
        <v>46</v>
      </c>
      <c r="C193" s="3" t="s">
        <v>225</v>
      </c>
      <c r="E193" s="3" t="s">
        <v>223</v>
      </c>
      <c r="F193" s="18"/>
      <c r="G193" s="18"/>
      <c r="H193" s="18">
        <v>11</v>
      </c>
      <c r="I193" s="11">
        <v>5</v>
      </c>
      <c r="N193" s="5">
        <f t="shared" si="3"/>
        <v>5</v>
      </c>
      <c r="W193" s="3" t="s">
        <v>61</v>
      </c>
      <c r="Y193" s="29" t="s">
        <v>684</v>
      </c>
    </row>
    <row r="194" spans="1:25" ht="45" x14ac:dyDescent="0.25">
      <c r="A194" s="10">
        <v>174</v>
      </c>
      <c r="B194" s="3" t="s">
        <v>46</v>
      </c>
      <c r="C194" s="3" t="s">
        <v>226</v>
      </c>
      <c r="E194" s="3" t="s">
        <v>223</v>
      </c>
      <c r="F194" s="18"/>
      <c r="G194" s="18"/>
      <c r="H194" s="18">
        <v>16</v>
      </c>
      <c r="I194" s="11">
        <v>3.5</v>
      </c>
      <c r="M194" s="11">
        <v>7</v>
      </c>
      <c r="N194" s="5">
        <f t="shared" si="3"/>
        <v>10.5</v>
      </c>
      <c r="W194" s="3" t="s">
        <v>61</v>
      </c>
      <c r="Y194" s="29" t="s">
        <v>684</v>
      </c>
    </row>
    <row r="195" spans="1:25" ht="45" x14ac:dyDescent="0.25">
      <c r="A195" s="10">
        <v>175</v>
      </c>
      <c r="B195" s="3" t="s">
        <v>46</v>
      </c>
      <c r="C195" s="3" t="s">
        <v>227</v>
      </c>
      <c r="E195" s="3" t="s">
        <v>223</v>
      </c>
      <c r="F195" s="18"/>
      <c r="G195" s="18"/>
      <c r="H195" s="18">
        <v>11</v>
      </c>
      <c r="I195" s="11">
        <v>1.7</v>
      </c>
      <c r="M195" s="11">
        <v>3.3</v>
      </c>
      <c r="N195" s="5">
        <f t="shared" si="3"/>
        <v>5</v>
      </c>
      <c r="W195" s="3" t="s">
        <v>61</v>
      </c>
      <c r="Y195" s="29" t="s">
        <v>684</v>
      </c>
    </row>
    <row r="196" spans="1:25" x14ac:dyDescent="0.25">
      <c r="A196" s="10">
        <v>176</v>
      </c>
      <c r="B196" s="3" t="s">
        <v>46</v>
      </c>
      <c r="C196" s="3" t="s">
        <v>228</v>
      </c>
      <c r="D196" s="3" t="s">
        <v>206</v>
      </c>
      <c r="E196" s="3" t="s">
        <v>28</v>
      </c>
      <c r="I196" s="11">
        <v>3</v>
      </c>
      <c r="N196" s="5">
        <f t="shared" si="3"/>
        <v>3</v>
      </c>
      <c r="W196" s="3" t="s">
        <v>208</v>
      </c>
      <c r="Y196" s="8" t="s">
        <v>31</v>
      </c>
    </row>
    <row r="197" spans="1:25" x14ac:dyDescent="0.25">
      <c r="A197" s="10">
        <v>177</v>
      </c>
      <c r="B197" s="3" t="s">
        <v>46</v>
      </c>
      <c r="C197" s="3" t="s">
        <v>229</v>
      </c>
      <c r="D197" s="3" t="s">
        <v>206</v>
      </c>
      <c r="E197" s="3" t="s">
        <v>28</v>
      </c>
      <c r="I197" s="11">
        <v>5</v>
      </c>
      <c r="N197" s="5">
        <f t="shared" si="3"/>
        <v>5</v>
      </c>
      <c r="W197" s="3" t="s">
        <v>208</v>
      </c>
      <c r="Y197" s="8" t="s">
        <v>31</v>
      </c>
    </row>
    <row r="198" spans="1:25" x14ac:dyDescent="0.25">
      <c r="A198" s="10">
        <v>178</v>
      </c>
      <c r="B198" s="3" t="s">
        <v>46</v>
      </c>
      <c r="C198" s="3" t="s">
        <v>228</v>
      </c>
      <c r="D198" s="3" t="s">
        <v>206</v>
      </c>
      <c r="E198" s="3" t="s">
        <v>28</v>
      </c>
      <c r="I198" s="11"/>
      <c r="M198" s="4">
        <v>187</v>
      </c>
      <c r="N198" s="5">
        <f t="shared" si="3"/>
        <v>187</v>
      </c>
      <c r="W198" s="3" t="s">
        <v>116</v>
      </c>
      <c r="Y198" s="8" t="s">
        <v>31</v>
      </c>
    </row>
    <row r="199" spans="1:25" x14ac:dyDescent="0.25">
      <c r="A199" s="10">
        <v>179</v>
      </c>
      <c r="B199" s="3" t="s">
        <v>46</v>
      </c>
      <c r="C199" s="3" t="s">
        <v>228</v>
      </c>
      <c r="D199" s="3" t="s">
        <v>206</v>
      </c>
      <c r="E199" s="3" t="s">
        <v>28</v>
      </c>
      <c r="I199" s="11">
        <v>1</v>
      </c>
      <c r="N199" s="5">
        <f t="shared" si="3"/>
        <v>1</v>
      </c>
      <c r="W199" s="3" t="s">
        <v>207</v>
      </c>
      <c r="Y199" s="8" t="s">
        <v>31</v>
      </c>
    </row>
    <row r="200" spans="1:25" x14ac:dyDescent="0.25">
      <c r="A200" s="10">
        <v>180</v>
      </c>
      <c r="B200" s="3" t="s">
        <v>46</v>
      </c>
      <c r="C200" s="3" t="s">
        <v>230</v>
      </c>
      <c r="D200" s="3" t="s">
        <v>206</v>
      </c>
      <c r="E200" s="3" t="s">
        <v>28</v>
      </c>
      <c r="I200" s="11">
        <v>6</v>
      </c>
      <c r="N200" s="5">
        <f t="shared" si="3"/>
        <v>6</v>
      </c>
      <c r="W200" s="3" t="s">
        <v>207</v>
      </c>
      <c r="Y200" s="8" t="s">
        <v>31</v>
      </c>
    </row>
    <row r="201" spans="1:25" x14ac:dyDescent="0.25">
      <c r="A201" s="10">
        <v>181</v>
      </c>
      <c r="B201" s="3" t="s">
        <v>46</v>
      </c>
      <c r="C201" s="3" t="s">
        <v>228</v>
      </c>
      <c r="D201" s="3" t="s">
        <v>206</v>
      </c>
      <c r="E201" s="3" t="s">
        <v>28</v>
      </c>
      <c r="I201" s="11">
        <v>1</v>
      </c>
      <c r="N201" s="5">
        <f t="shared" si="3"/>
        <v>1</v>
      </c>
      <c r="W201" s="3" t="s">
        <v>208</v>
      </c>
      <c r="Y201" s="8" t="s">
        <v>31</v>
      </c>
    </row>
    <row r="202" spans="1:25" x14ac:dyDescent="0.25">
      <c r="A202" s="10">
        <v>182</v>
      </c>
      <c r="B202" s="3" t="s">
        <v>46</v>
      </c>
      <c r="C202" s="3" t="s">
        <v>228</v>
      </c>
      <c r="D202" s="3" t="s">
        <v>206</v>
      </c>
      <c r="E202" s="3" t="s">
        <v>28</v>
      </c>
      <c r="I202" s="11">
        <v>4</v>
      </c>
      <c r="N202" s="5">
        <f t="shared" si="3"/>
        <v>4</v>
      </c>
      <c r="W202" s="3" t="s">
        <v>208</v>
      </c>
      <c r="Y202" s="8" t="s">
        <v>31</v>
      </c>
    </row>
    <row r="203" spans="1:25" x14ac:dyDescent="0.25">
      <c r="A203" s="10">
        <v>183</v>
      </c>
      <c r="B203" s="3" t="s">
        <v>46</v>
      </c>
      <c r="C203" s="3" t="s">
        <v>231</v>
      </c>
      <c r="D203" s="3" t="s">
        <v>206</v>
      </c>
      <c r="E203" s="3" t="s">
        <v>28</v>
      </c>
      <c r="I203" s="11">
        <v>0.5</v>
      </c>
      <c r="N203" s="5">
        <f t="shared" si="3"/>
        <v>0.5</v>
      </c>
      <c r="W203" s="3" t="s">
        <v>232</v>
      </c>
      <c r="Y203" s="8" t="s">
        <v>210</v>
      </c>
    </row>
    <row r="204" spans="1:25" x14ac:dyDescent="0.25">
      <c r="A204" s="10">
        <v>184</v>
      </c>
      <c r="B204" s="3" t="s">
        <v>46</v>
      </c>
      <c r="C204" s="3" t="s">
        <v>231</v>
      </c>
      <c r="D204" s="3" t="s">
        <v>206</v>
      </c>
      <c r="E204" s="3" t="s">
        <v>28</v>
      </c>
      <c r="I204" s="11">
        <v>4.5</v>
      </c>
      <c r="N204" s="5">
        <f t="shared" si="3"/>
        <v>4.5</v>
      </c>
      <c r="W204" s="3" t="s">
        <v>232</v>
      </c>
      <c r="Y204" s="8" t="s">
        <v>210</v>
      </c>
    </row>
    <row r="205" spans="1:25" ht="84.95" customHeight="1" x14ac:dyDescent="0.25">
      <c r="A205" s="10">
        <v>185</v>
      </c>
      <c r="B205" s="3" t="s">
        <v>46</v>
      </c>
      <c r="C205" s="3" t="s">
        <v>233</v>
      </c>
      <c r="D205" s="3" t="s">
        <v>206</v>
      </c>
      <c r="E205" s="3" t="s">
        <v>28</v>
      </c>
      <c r="F205" s="3" t="s">
        <v>41</v>
      </c>
      <c r="I205" s="4">
        <v>3</v>
      </c>
      <c r="J205" s="3">
        <v>4.5</v>
      </c>
      <c r="M205" s="4">
        <v>187</v>
      </c>
      <c r="N205" s="5">
        <f t="shared" si="3"/>
        <v>194.5</v>
      </c>
      <c r="W205" s="3" t="s">
        <v>30</v>
      </c>
      <c r="Y205" s="29" t="s">
        <v>31</v>
      </c>
    </row>
    <row r="206" spans="1:25" ht="30" x14ac:dyDescent="0.25">
      <c r="A206" s="10">
        <v>186</v>
      </c>
      <c r="B206" s="3" t="s">
        <v>234</v>
      </c>
      <c r="C206" s="3" t="s">
        <v>235</v>
      </c>
      <c r="D206" s="3" t="s">
        <v>236</v>
      </c>
      <c r="E206" s="3" t="s">
        <v>28</v>
      </c>
      <c r="I206" s="11"/>
      <c r="W206" s="3" t="s">
        <v>237</v>
      </c>
      <c r="Y206" s="8" t="s">
        <v>31</v>
      </c>
    </row>
    <row r="207" spans="1:25" ht="30" x14ac:dyDescent="0.25">
      <c r="A207" s="10">
        <v>187</v>
      </c>
      <c r="B207" s="3" t="s">
        <v>234</v>
      </c>
      <c r="C207" s="3" t="s">
        <v>235</v>
      </c>
      <c r="D207" s="3" t="s">
        <v>236</v>
      </c>
      <c r="E207" s="3" t="s">
        <v>28</v>
      </c>
      <c r="I207" s="11">
        <v>7.5</v>
      </c>
      <c r="N207" s="5">
        <f>SUM(I207:M207)</f>
        <v>7.5</v>
      </c>
      <c r="W207" s="3" t="s">
        <v>237</v>
      </c>
      <c r="Y207" s="8" t="s">
        <v>31</v>
      </c>
    </row>
    <row r="208" spans="1:25" ht="30" x14ac:dyDescent="0.25">
      <c r="A208" s="10">
        <v>188</v>
      </c>
      <c r="B208" s="3" t="s">
        <v>234</v>
      </c>
      <c r="C208" s="3" t="s">
        <v>235</v>
      </c>
      <c r="D208" s="3" t="s">
        <v>238</v>
      </c>
      <c r="E208" s="3" t="s">
        <v>28</v>
      </c>
      <c r="I208" s="11"/>
      <c r="W208" s="3" t="s">
        <v>237</v>
      </c>
      <c r="Y208" s="8" t="s">
        <v>31</v>
      </c>
    </row>
    <row r="209" spans="1:25" ht="30" x14ac:dyDescent="0.25">
      <c r="A209" s="10">
        <v>189</v>
      </c>
      <c r="B209" s="3" t="s">
        <v>234</v>
      </c>
      <c r="C209" s="3" t="s">
        <v>235</v>
      </c>
      <c r="D209" s="3" t="s">
        <v>238</v>
      </c>
      <c r="E209" s="3" t="s">
        <v>28</v>
      </c>
      <c r="I209" s="11">
        <v>5</v>
      </c>
      <c r="N209" s="5">
        <f t="shared" ref="N209:N216" si="4">SUM(I209:M209)</f>
        <v>5</v>
      </c>
      <c r="W209" s="3" t="s">
        <v>237</v>
      </c>
      <c r="Y209" s="8" t="s">
        <v>31</v>
      </c>
    </row>
    <row r="210" spans="1:25" x14ac:dyDescent="0.25">
      <c r="A210" s="10">
        <v>190</v>
      </c>
      <c r="B210" s="3" t="s">
        <v>234</v>
      </c>
      <c r="C210" s="3" t="s">
        <v>235</v>
      </c>
      <c r="D210" s="3" t="s">
        <v>239</v>
      </c>
      <c r="E210" s="3" t="s">
        <v>28</v>
      </c>
      <c r="F210" s="3" t="s">
        <v>41</v>
      </c>
      <c r="I210" s="4">
        <v>5</v>
      </c>
      <c r="J210" s="3">
        <v>7.5</v>
      </c>
      <c r="M210" s="4">
        <v>93</v>
      </c>
      <c r="N210" s="5">
        <f t="shared" si="4"/>
        <v>105.5</v>
      </c>
      <c r="W210" s="3" t="s">
        <v>30</v>
      </c>
      <c r="Y210" s="29" t="s">
        <v>31</v>
      </c>
    </row>
    <row r="211" spans="1:25" x14ac:dyDescent="0.25">
      <c r="A211" s="10">
        <v>191</v>
      </c>
      <c r="B211" s="3" t="s">
        <v>234</v>
      </c>
      <c r="C211" s="3" t="s">
        <v>235</v>
      </c>
      <c r="D211" s="3" t="s">
        <v>239</v>
      </c>
      <c r="E211" s="3" t="s">
        <v>28</v>
      </c>
      <c r="I211" s="11">
        <v>8</v>
      </c>
      <c r="N211" s="5">
        <f t="shared" si="4"/>
        <v>8</v>
      </c>
      <c r="W211" s="3" t="s">
        <v>240</v>
      </c>
      <c r="Y211" s="8" t="s">
        <v>210</v>
      </c>
    </row>
    <row r="212" spans="1:25" x14ac:dyDescent="0.25">
      <c r="A212" s="10">
        <v>192</v>
      </c>
      <c r="B212" s="3" t="s">
        <v>234</v>
      </c>
      <c r="C212" s="3" t="s">
        <v>235</v>
      </c>
      <c r="D212" s="3" t="s">
        <v>239</v>
      </c>
      <c r="E212" s="3" t="s">
        <v>28</v>
      </c>
      <c r="I212" s="11"/>
      <c r="M212" s="4">
        <v>109</v>
      </c>
      <c r="N212" s="5">
        <f t="shared" si="4"/>
        <v>109</v>
      </c>
      <c r="W212" s="3" t="s">
        <v>116</v>
      </c>
      <c r="Y212" s="8" t="s">
        <v>31</v>
      </c>
    </row>
    <row r="213" spans="1:25" x14ac:dyDescent="0.25">
      <c r="A213" s="10">
        <v>193</v>
      </c>
      <c r="B213" s="3" t="s">
        <v>234</v>
      </c>
      <c r="C213" s="3" t="s">
        <v>235</v>
      </c>
      <c r="D213" s="3" t="s">
        <v>239</v>
      </c>
      <c r="E213" s="3" t="s">
        <v>28</v>
      </c>
      <c r="I213" s="11"/>
      <c r="M213" s="4">
        <v>77</v>
      </c>
      <c r="N213" s="5">
        <f t="shared" si="4"/>
        <v>77</v>
      </c>
      <c r="W213" s="3" t="s">
        <v>241</v>
      </c>
      <c r="Y213" s="8" t="s">
        <v>210</v>
      </c>
    </row>
    <row r="214" spans="1:25" x14ac:dyDescent="0.25">
      <c r="A214" s="10">
        <v>194</v>
      </c>
      <c r="B214" s="3" t="s">
        <v>234</v>
      </c>
      <c r="C214" s="3" t="s">
        <v>235</v>
      </c>
      <c r="D214" s="3" t="s">
        <v>242</v>
      </c>
      <c r="E214" s="3" t="s">
        <v>28</v>
      </c>
      <c r="I214" s="11"/>
      <c r="M214" s="4">
        <v>69</v>
      </c>
      <c r="N214" s="5">
        <f t="shared" si="4"/>
        <v>69</v>
      </c>
      <c r="W214" s="3" t="s">
        <v>241</v>
      </c>
      <c r="Y214" s="8" t="s">
        <v>210</v>
      </c>
    </row>
    <row r="215" spans="1:25" x14ac:dyDescent="0.25">
      <c r="A215" s="10">
        <v>195</v>
      </c>
      <c r="B215" s="3" t="s">
        <v>234</v>
      </c>
      <c r="C215" s="3" t="s">
        <v>235</v>
      </c>
      <c r="D215" s="3" t="s">
        <v>243</v>
      </c>
      <c r="E215" s="3" t="s">
        <v>28</v>
      </c>
      <c r="I215" s="11"/>
      <c r="M215" s="4">
        <v>77</v>
      </c>
      <c r="N215" s="5">
        <f t="shared" si="4"/>
        <v>77</v>
      </c>
      <c r="W215" s="3" t="s">
        <v>241</v>
      </c>
      <c r="Y215" s="8" t="s">
        <v>210</v>
      </c>
    </row>
    <row r="216" spans="1:25" ht="60" x14ac:dyDescent="0.25">
      <c r="A216" s="10">
        <v>196</v>
      </c>
      <c r="B216" s="3" t="s">
        <v>234</v>
      </c>
      <c r="C216" s="3" t="s">
        <v>235</v>
      </c>
      <c r="D216" s="3" t="s">
        <v>243</v>
      </c>
      <c r="I216" s="11"/>
      <c r="M216" s="4">
        <v>77</v>
      </c>
      <c r="N216" s="5">
        <f t="shared" si="4"/>
        <v>77</v>
      </c>
      <c r="O216" s="4" t="s">
        <v>244</v>
      </c>
      <c r="W216" s="3" t="s">
        <v>245</v>
      </c>
      <c r="Y216" s="8" t="s">
        <v>210</v>
      </c>
    </row>
    <row r="217" spans="1:25" x14ac:dyDescent="0.25">
      <c r="A217" s="10">
        <v>197</v>
      </c>
      <c r="B217" s="3" t="s">
        <v>234</v>
      </c>
      <c r="C217" s="3" t="s">
        <v>246</v>
      </c>
      <c r="D217" s="3" t="s">
        <v>21</v>
      </c>
      <c r="E217" s="3" t="s">
        <v>22</v>
      </c>
      <c r="I217" s="4">
        <v>2</v>
      </c>
      <c r="M217" s="4">
        <v>88</v>
      </c>
      <c r="N217" s="5">
        <f>SUM(Table3[[#This Row],[Biomass Above Ground]:[ Soil carbon]])</f>
        <v>90</v>
      </c>
      <c r="O217" s="4" t="s">
        <v>23</v>
      </c>
      <c r="W217" s="3" t="s">
        <v>24</v>
      </c>
      <c r="X217" s="3" t="s">
        <v>25</v>
      </c>
      <c r="Y217" s="8" t="s">
        <v>26</v>
      </c>
    </row>
    <row r="218" spans="1:25" x14ac:dyDescent="0.25">
      <c r="A218" s="10">
        <v>198</v>
      </c>
      <c r="B218" s="3" t="s">
        <v>234</v>
      </c>
      <c r="C218" s="3" t="s">
        <v>247</v>
      </c>
      <c r="E218" s="3" t="s">
        <v>248</v>
      </c>
      <c r="F218" s="3" t="s">
        <v>41</v>
      </c>
      <c r="H218" s="3">
        <v>22</v>
      </c>
      <c r="I218" s="4">
        <f>2*10</f>
        <v>20</v>
      </c>
      <c r="N218" s="5">
        <f>SUM(I218:M218)</f>
        <v>20</v>
      </c>
      <c r="W218" s="3" t="s">
        <v>42</v>
      </c>
      <c r="Y218" s="8" t="s">
        <v>43</v>
      </c>
    </row>
    <row r="219" spans="1:25" x14ac:dyDescent="0.25">
      <c r="A219" s="10">
        <v>199</v>
      </c>
      <c r="B219" s="3" t="s">
        <v>234</v>
      </c>
      <c r="C219" s="3" t="s">
        <v>234</v>
      </c>
      <c r="E219" s="3" t="s">
        <v>22</v>
      </c>
      <c r="I219" s="4">
        <v>2</v>
      </c>
      <c r="N219" s="5">
        <f>SUM(Table3[[#This Row],[Biomass Above Ground]:[ Soil carbon]])</f>
        <v>2</v>
      </c>
      <c r="W219" s="3" t="s">
        <v>249</v>
      </c>
      <c r="X219" s="3" t="s">
        <v>25</v>
      </c>
      <c r="Y219" s="8" t="s">
        <v>26</v>
      </c>
    </row>
    <row r="220" spans="1:25" x14ac:dyDescent="0.25">
      <c r="A220" s="10">
        <v>200</v>
      </c>
      <c r="B220" s="3" t="s">
        <v>234</v>
      </c>
      <c r="C220" s="3" t="s">
        <v>234</v>
      </c>
      <c r="E220" s="3" t="s">
        <v>22</v>
      </c>
      <c r="M220" s="4">
        <v>88</v>
      </c>
      <c r="N220" s="5">
        <f>SUM(Table3[[#This Row],[Biomass Above Ground]:[ Soil carbon]])</f>
        <v>88</v>
      </c>
      <c r="W220" s="3" t="s">
        <v>92</v>
      </c>
      <c r="X220" s="3" t="s">
        <v>25</v>
      </c>
      <c r="Y220" s="8" t="s">
        <v>26</v>
      </c>
    </row>
    <row r="221" spans="1:25" x14ac:dyDescent="0.25">
      <c r="A221" s="10">
        <v>201</v>
      </c>
      <c r="B221" s="3" t="s">
        <v>234</v>
      </c>
      <c r="C221" s="3" t="s">
        <v>234</v>
      </c>
      <c r="E221" s="3" t="s">
        <v>22</v>
      </c>
      <c r="U221" s="6">
        <f>0.07*12/44</f>
        <v>1.9090909090909092E-2</v>
      </c>
      <c r="W221" s="3" t="s">
        <v>250</v>
      </c>
      <c r="X221" s="3" t="s">
        <v>25</v>
      </c>
      <c r="Y221" s="8" t="s">
        <v>26</v>
      </c>
    </row>
    <row r="222" spans="1:25" ht="81.75" customHeight="1" x14ac:dyDescent="0.25">
      <c r="A222" s="10">
        <v>202</v>
      </c>
      <c r="B222" s="3" t="s">
        <v>234</v>
      </c>
      <c r="C222" s="3" t="s">
        <v>251</v>
      </c>
      <c r="D222" s="3" t="s">
        <v>252</v>
      </c>
      <c r="E222" s="3" t="s">
        <v>253</v>
      </c>
      <c r="F222" s="3" t="s">
        <v>254</v>
      </c>
      <c r="I222" s="4">
        <v>22.7</v>
      </c>
      <c r="L222" s="3">
        <v>48.06</v>
      </c>
      <c r="M222" s="4">
        <v>40.590000000000003</v>
      </c>
      <c r="N222" s="5">
        <f t="shared" ref="N222:N228" si="5">SUM(I222:M222)</f>
        <v>111.35000000000001</v>
      </c>
      <c r="W222" s="3" t="s">
        <v>694</v>
      </c>
      <c r="Y222" s="29" t="s">
        <v>695</v>
      </c>
    </row>
    <row r="223" spans="1:25" ht="30" x14ac:dyDescent="0.25">
      <c r="A223" s="10">
        <v>203</v>
      </c>
      <c r="B223" s="3" t="s">
        <v>234</v>
      </c>
      <c r="C223" s="3" t="s">
        <v>235</v>
      </c>
      <c r="D223" s="3" t="s">
        <v>255</v>
      </c>
      <c r="E223" s="3" t="s">
        <v>638</v>
      </c>
      <c r="F223" s="3" t="s">
        <v>254</v>
      </c>
      <c r="I223" s="4">
        <v>26.5</v>
      </c>
      <c r="L223" s="3">
        <v>25.83</v>
      </c>
      <c r="M223" s="4">
        <v>496.23</v>
      </c>
      <c r="N223" s="5">
        <f t="shared" si="5"/>
        <v>548.56000000000006</v>
      </c>
      <c r="W223" s="3" t="s">
        <v>256</v>
      </c>
      <c r="Y223" s="29" t="s">
        <v>695</v>
      </c>
    </row>
    <row r="224" spans="1:25" ht="57.6" customHeight="1" x14ac:dyDescent="0.25">
      <c r="A224" s="10">
        <v>204</v>
      </c>
      <c r="B224" s="3" t="s">
        <v>234</v>
      </c>
      <c r="C224" s="3" t="s">
        <v>235</v>
      </c>
      <c r="D224" s="3" t="s">
        <v>257</v>
      </c>
      <c r="E224" s="2" t="s">
        <v>258</v>
      </c>
      <c r="F224" s="3" t="s">
        <v>254</v>
      </c>
      <c r="I224" s="4">
        <v>18.5</v>
      </c>
      <c r="L224" s="3">
        <v>28.6</v>
      </c>
      <c r="M224" s="4">
        <v>186.12</v>
      </c>
      <c r="N224" s="5">
        <f t="shared" si="5"/>
        <v>233.22</v>
      </c>
      <c r="W224" s="3" t="s">
        <v>256</v>
      </c>
      <c r="Y224" s="29" t="s">
        <v>695</v>
      </c>
    </row>
    <row r="225" spans="1:25" x14ac:dyDescent="0.25">
      <c r="A225" s="10">
        <v>205</v>
      </c>
      <c r="B225" s="3" t="s">
        <v>234</v>
      </c>
      <c r="C225" s="3" t="s">
        <v>259</v>
      </c>
      <c r="D225" s="3" t="s">
        <v>260</v>
      </c>
      <c r="E225" s="3" t="s">
        <v>28</v>
      </c>
      <c r="F225" s="3" t="s">
        <v>41</v>
      </c>
      <c r="I225" s="4">
        <v>5</v>
      </c>
      <c r="J225" s="3">
        <v>7.5</v>
      </c>
      <c r="M225" s="4">
        <v>93</v>
      </c>
      <c r="N225" s="5">
        <f t="shared" si="5"/>
        <v>105.5</v>
      </c>
      <c r="W225" s="3" t="s">
        <v>30</v>
      </c>
      <c r="Y225" s="29" t="s">
        <v>31</v>
      </c>
    </row>
    <row r="226" spans="1:25" x14ac:dyDescent="0.25">
      <c r="A226" s="10">
        <v>206</v>
      </c>
      <c r="B226" s="3" t="s">
        <v>234</v>
      </c>
      <c r="C226" s="3" t="s">
        <v>259</v>
      </c>
      <c r="D226" s="3" t="s">
        <v>260</v>
      </c>
      <c r="I226" s="11"/>
      <c r="M226" s="4">
        <v>197</v>
      </c>
      <c r="N226" s="5">
        <f t="shared" si="5"/>
        <v>197</v>
      </c>
      <c r="O226" s="4" t="s">
        <v>261</v>
      </c>
      <c r="W226" s="3" t="s">
        <v>116</v>
      </c>
      <c r="Y226" s="8" t="s">
        <v>31</v>
      </c>
    </row>
    <row r="227" spans="1:25" ht="60" x14ac:dyDescent="0.25">
      <c r="A227" s="10">
        <v>207</v>
      </c>
      <c r="B227" s="3" t="s">
        <v>234</v>
      </c>
      <c r="C227" s="3" t="s">
        <v>259</v>
      </c>
      <c r="D227" s="3" t="s">
        <v>260</v>
      </c>
      <c r="E227" s="3" t="s">
        <v>28</v>
      </c>
      <c r="I227" s="11"/>
      <c r="M227" s="4">
        <v>68.7</v>
      </c>
      <c r="N227" s="5">
        <f t="shared" si="5"/>
        <v>68.7</v>
      </c>
      <c r="O227" s="4" t="s">
        <v>262</v>
      </c>
      <c r="W227" s="3" t="s">
        <v>245</v>
      </c>
      <c r="Y227" s="8" t="s">
        <v>210</v>
      </c>
    </row>
    <row r="228" spans="1:25" ht="60" x14ac:dyDescent="0.25">
      <c r="A228" s="10">
        <v>208</v>
      </c>
      <c r="B228" s="3" t="s">
        <v>234</v>
      </c>
      <c r="C228" s="3" t="s">
        <v>259</v>
      </c>
      <c r="D228" s="3" t="s">
        <v>263</v>
      </c>
      <c r="E228" s="3" t="s">
        <v>28</v>
      </c>
      <c r="I228" s="11"/>
      <c r="M228" s="4">
        <v>58</v>
      </c>
      <c r="N228" s="5">
        <f t="shared" si="5"/>
        <v>58</v>
      </c>
      <c r="O228" s="4" t="s">
        <v>264</v>
      </c>
      <c r="W228" s="3" t="s">
        <v>245</v>
      </c>
      <c r="Y228" s="8" t="s">
        <v>210</v>
      </c>
    </row>
    <row r="229" spans="1:25" ht="60" x14ac:dyDescent="0.25">
      <c r="A229" s="19">
        <v>394</v>
      </c>
      <c r="B229" s="3" t="s">
        <v>234</v>
      </c>
      <c r="C229" s="3" t="s">
        <v>550</v>
      </c>
      <c r="E229" s="3" t="s">
        <v>22</v>
      </c>
      <c r="M229" s="4">
        <v>175</v>
      </c>
      <c r="N229" s="5">
        <f>SUM(Table3[[#This Row],[Biomass Above Ground]:[ Soil carbon]])</f>
        <v>175</v>
      </c>
      <c r="W229" s="3" t="s">
        <v>551</v>
      </c>
      <c r="X229" s="3" t="s">
        <v>524</v>
      </c>
      <c r="Y229" s="8" t="s">
        <v>525</v>
      </c>
    </row>
    <row r="230" spans="1:25" ht="60" x14ac:dyDescent="0.25">
      <c r="A230" s="19">
        <v>395</v>
      </c>
      <c r="B230" s="3" t="s">
        <v>234</v>
      </c>
      <c r="C230" s="3" t="s">
        <v>550</v>
      </c>
      <c r="E230" s="3" t="s">
        <v>22</v>
      </c>
      <c r="M230" s="4">
        <v>211</v>
      </c>
      <c r="N230" s="5">
        <f>SUM(Table3[[#This Row],[Biomass Above Ground]:[ Soil carbon]])</f>
        <v>211</v>
      </c>
      <c r="W230" s="3" t="s">
        <v>551</v>
      </c>
      <c r="X230" s="3" t="s">
        <v>524</v>
      </c>
      <c r="Y230" s="8" t="s">
        <v>525</v>
      </c>
    </row>
    <row r="231" spans="1:25" ht="60" x14ac:dyDescent="0.25">
      <c r="A231" s="19">
        <v>396</v>
      </c>
      <c r="B231" s="3" t="s">
        <v>234</v>
      </c>
      <c r="C231" s="3" t="s">
        <v>552</v>
      </c>
      <c r="E231" s="3" t="s">
        <v>22</v>
      </c>
      <c r="M231" s="4">
        <v>93</v>
      </c>
      <c r="N231" s="5">
        <f>SUM(Table3[[#This Row],[Biomass Above Ground]:[ Soil carbon]])</f>
        <v>93</v>
      </c>
      <c r="W231" s="3" t="s">
        <v>551</v>
      </c>
      <c r="X231" s="3" t="s">
        <v>524</v>
      </c>
      <c r="Y231" s="8" t="s">
        <v>525</v>
      </c>
    </row>
    <row r="232" spans="1:25" ht="30" x14ac:dyDescent="0.25">
      <c r="A232" s="10">
        <v>212</v>
      </c>
      <c r="B232" s="3" t="s">
        <v>271</v>
      </c>
      <c r="C232" s="3" t="s">
        <v>271</v>
      </c>
      <c r="D232" s="3" t="s">
        <v>272</v>
      </c>
      <c r="E232" s="3" t="s">
        <v>273</v>
      </c>
      <c r="F232" s="3" t="s">
        <v>41</v>
      </c>
      <c r="H232" s="3">
        <v>23</v>
      </c>
      <c r="I232" s="4">
        <f>0.9*10</f>
        <v>9</v>
      </c>
      <c r="N232" s="5">
        <f>SUM(I232:M232)</f>
        <v>9</v>
      </c>
      <c r="W232" s="3" t="s">
        <v>42</v>
      </c>
      <c r="Y232" s="8" t="s">
        <v>43</v>
      </c>
    </row>
    <row r="233" spans="1:25" ht="45" x14ac:dyDescent="0.25">
      <c r="A233" s="10">
        <v>213</v>
      </c>
      <c r="B233" s="3" t="s">
        <v>271</v>
      </c>
      <c r="C233" s="3" t="s">
        <v>274</v>
      </c>
      <c r="E233" s="3" t="s">
        <v>114</v>
      </c>
      <c r="H233" s="3">
        <v>3.4</v>
      </c>
      <c r="W233" s="3" t="s">
        <v>61</v>
      </c>
      <c r="X233" s="8"/>
      <c r="Y233" s="29" t="s">
        <v>684</v>
      </c>
    </row>
    <row r="234" spans="1:25" ht="45" x14ac:dyDescent="0.25">
      <c r="A234" s="10">
        <v>214</v>
      </c>
      <c r="B234" s="3" t="s">
        <v>271</v>
      </c>
      <c r="C234" s="3" t="s">
        <v>275</v>
      </c>
      <c r="E234" s="3" t="s">
        <v>114</v>
      </c>
      <c r="H234" s="3">
        <v>4.0999999999999996</v>
      </c>
      <c r="I234" s="4">
        <v>12</v>
      </c>
      <c r="N234" s="5">
        <f>SUM(I234:M234)</f>
        <v>12</v>
      </c>
      <c r="W234" s="3" t="s">
        <v>61</v>
      </c>
      <c r="Y234" s="29" t="s">
        <v>684</v>
      </c>
    </row>
    <row r="235" spans="1:25" ht="75" x14ac:dyDescent="0.25">
      <c r="A235" s="19">
        <v>402</v>
      </c>
      <c r="B235" s="3" t="s">
        <v>271</v>
      </c>
      <c r="C235" s="3" t="s">
        <v>271</v>
      </c>
      <c r="D235" s="3" t="s">
        <v>559</v>
      </c>
      <c r="E235" s="3" t="s">
        <v>560</v>
      </c>
      <c r="I235" s="4">
        <v>10.07</v>
      </c>
      <c r="J235" s="3">
        <v>2.19</v>
      </c>
      <c r="N235" s="5">
        <f>SUM(Table3[[#This Row],[Biomass Above Ground]:[ Soil carbon]])</f>
        <v>12.26</v>
      </c>
      <c r="W235" s="21" t="s">
        <v>561</v>
      </c>
      <c r="X235" s="3" t="s">
        <v>562</v>
      </c>
      <c r="Y235" s="8" t="s">
        <v>563</v>
      </c>
    </row>
    <row r="236" spans="1:25" ht="75" x14ac:dyDescent="0.25">
      <c r="A236" s="19">
        <v>403</v>
      </c>
      <c r="B236" s="3" t="s">
        <v>271</v>
      </c>
      <c r="C236" s="3" t="s">
        <v>564</v>
      </c>
      <c r="D236" s="3" t="s">
        <v>559</v>
      </c>
      <c r="E236" s="3" t="s">
        <v>560</v>
      </c>
      <c r="I236" s="4">
        <v>8.0500000000000007</v>
      </c>
      <c r="J236" s="3">
        <v>1.41</v>
      </c>
      <c r="N236" s="5">
        <f>SUM(Table3[[#This Row],[Biomass Above Ground]:[ Soil carbon]])</f>
        <v>9.4600000000000009</v>
      </c>
      <c r="W236" s="21" t="s">
        <v>561</v>
      </c>
      <c r="X236" s="3" t="s">
        <v>562</v>
      </c>
      <c r="Y236" s="8" t="s">
        <v>563</v>
      </c>
    </row>
    <row r="237" spans="1:25" ht="54.6" customHeight="1" x14ac:dyDescent="0.25">
      <c r="A237" s="19">
        <v>404</v>
      </c>
      <c r="B237" s="3" t="s">
        <v>271</v>
      </c>
      <c r="C237" s="3" t="s">
        <v>271</v>
      </c>
      <c r="D237" s="3" t="s">
        <v>565</v>
      </c>
      <c r="E237" s="3" t="s">
        <v>560</v>
      </c>
      <c r="I237" s="4">
        <v>12.81</v>
      </c>
      <c r="J237" s="3">
        <v>7.1</v>
      </c>
      <c r="N237" s="5">
        <f>SUM(Table3[[#This Row],[Biomass Above Ground]:[ Soil carbon]])</f>
        <v>19.91</v>
      </c>
      <c r="W237" s="21" t="s">
        <v>561</v>
      </c>
      <c r="X237" s="3" t="s">
        <v>562</v>
      </c>
      <c r="Y237" s="8" t="s">
        <v>563</v>
      </c>
    </row>
    <row r="238" spans="1:25" ht="45" x14ac:dyDescent="0.25">
      <c r="A238" s="19">
        <v>405</v>
      </c>
      <c r="B238" s="3" t="s">
        <v>271</v>
      </c>
      <c r="C238" s="3" t="s">
        <v>271</v>
      </c>
      <c r="D238" s="3" t="s">
        <v>559</v>
      </c>
      <c r="E238" s="3" t="s">
        <v>560</v>
      </c>
      <c r="I238" s="4">
        <f>13.82*0.5</f>
        <v>6.91</v>
      </c>
      <c r="N238" s="5">
        <f>SUM(Table3[[#This Row],[Biomass Above Ground]:[ Soil carbon]])</f>
        <v>6.91</v>
      </c>
      <c r="W238" s="3" t="s">
        <v>566</v>
      </c>
      <c r="X238" s="3" t="s">
        <v>567</v>
      </c>
      <c r="Y238" s="8" t="s">
        <v>563</v>
      </c>
    </row>
    <row r="239" spans="1:25" ht="90" x14ac:dyDescent="0.25">
      <c r="A239" s="19">
        <v>406</v>
      </c>
      <c r="B239" s="3" t="s">
        <v>271</v>
      </c>
      <c r="C239" s="3" t="s">
        <v>271</v>
      </c>
      <c r="D239" s="3" t="s">
        <v>559</v>
      </c>
      <c r="E239" s="3" t="s">
        <v>560</v>
      </c>
      <c r="I239" s="4">
        <f>17*0.5</f>
        <v>8.5</v>
      </c>
      <c r="N239" s="5">
        <f>SUM(Table3[[#This Row],[Biomass Above Ground]:[ Soil carbon]])</f>
        <v>8.5</v>
      </c>
      <c r="W239" s="3" t="s">
        <v>568</v>
      </c>
      <c r="X239" s="3" t="s">
        <v>569</v>
      </c>
      <c r="Y239" s="8" t="s">
        <v>563</v>
      </c>
    </row>
    <row r="240" spans="1:25" ht="69.599999999999994" customHeight="1" x14ac:dyDescent="0.25">
      <c r="A240" s="19">
        <v>407</v>
      </c>
      <c r="B240" s="3" t="s">
        <v>271</v>
      </c>
      <c r="C240" s="3" t="s">
        <v>271</v>
      </c>
      <c r="D240" s="3" t="s">
        <v>565</v>
      </c>
      <c r="E240" s="3" t="s">
        <v>560</v>
      </c>
      <c r="I240" s="4">
        <f>21.39*0.5</f>
        <v>10.695</v>
      </c>
      <c r="N240" s="5">
        <f>SUM(Table3[[#This Row],[Biomass Above Ground]:[ Soil carbon]])</f>
        <v>10.695</v>
      </c>
      <c r="W240" s="3" t="s">
        <v>570</v>
      </c>
      <c r="X240" s="3" t="s">
        <v>571</v>
      </c>
      <c r="Y240" s="8" t="s">
        <v>563</v>
      </c>
    </row>
    <row r="241" spans="1:25" ht="120" x14ac:dyDescent="0.25">
      <c r="A241" s="19">
        <v>408</v>
      </c>
      <c r="B241" s="3" t="s">
        <v>271</v>
      </c>
      <c r="C241" s="3" t="s">
        <v>572</v>
      </c>
      <c r="D241" s="3" t="s">
        <v>573</v>
      </c>
      <c r="E241" s="3" t="s">
        <v>253</v>
      </c>
      <c r="I241" s="4">
        <f>1825/100</f>
        <v>18.25</v>
      </c>
      <c r="J241" s="3">
        <f>1616/100</f>
        <v>16.16</v>
      </c>
      <c r="M241" s="4">
        <f>(15106+467)/100</f>
        <v>155.72999999999999</v>
      </c>
      <c r="N241" s="5">
        <f>SUM(Table3[[#This Row],[Biomass Above Ground]:[ Soil carbon]])</f>
        <v>190.14</v>
      </c>
      <c r="O241" s="4" t="s">
        <v>574</v>
      </c>
      <c r="U241" s="6">
        <f>126/100</f>
        <v>1.26</v>
      </c>
      <c r="W241" s="3" t="s">
        <v>575</v>
      </c>
      <c r="Y241" s="8" t="s">
        <v>576</v>
      </c>
    </row>
    <row r="242" spans="1:25" ht="36" customHeight="1" x14ac:dyDescent="0.25">
      <c r="A242" s="19">
        <v>409</v>
      </c>
      <c r="B242" s="3" t="s">
        <v>271</v>
      </c>
      <c r="C242" s="3" t="s">
        <v>572</v>
      </c>
      <c r="D242" s="3" t="s">
        <v>577</v>
      </c>
      <c r="E242" s="3" t="s">
        <v>578</v>
      </c>
      <c r="I242" s="4">
        <f>221/100</f>
        <v>2.21</v>
      </c>
      <c r="J242" s="3">
        <f>290/100</f>
        <v>2.9</v>
      </c>
      <c r="M242" s="4">
        <f>(3965+19)/100</f>
        <v>39.840000000000003</v>
      </c>
      <c r="N242" s="5">
        <f>SUM(Table3[[#This Row],[Biomass Above Ground]:[ Soil carbon]])</f>
        <v>44.95</v>
      </c>
      <c r="O242" s="4" t="s">
        <v>574</v>
      </c>
      <c r="U242" s="6">
        <f>49/100</f>
        <v>0.49</v>
      </c>
      <c r="W242" s="3" t="s">
        <v>579</v>
      </c>
      <c r="Y242" s="8" t="s">
        <v>576</v>
      </c>
    </row>
    <row r="243" spans="1:25" ht="45" x14ac:dyDescent="0.25">
      <c r="A243" s="19">
        <v>410</v>
      </c>
      <c r="B243" s="3" t="s">
        <v>271</v>
      </c>
      <c r="C243" s="3" t="s">
        <v>572</v>
      </c>
      <c r="D243" s="3" t="s">
        <v>580</v>
      </c>
      <c r="E243" s="3" t="s">
        <v>581</v>
      </c>
      <c r="I243" s="4">
        <f>389/100</f>
        <v>3.89</v>
      </c>
      <c r="J243" s="3">
        <f>495/100</f>
        <v>4.95</v>
      </c>
      <c r="N243" s="5">
        <f>SUM(Table3[[#This Row],[Biomass Above Ground]:[ Soil carbon]])</f>
        <v>8.84</v>
      </c>
      <c r="O243" s="4" t="s">
        <v>574</v>
      </c>
      <c r="U243" s="6">
        <f>-26/100</f>
        <v>-0.26</v>
      </c>
      <c r="W243" s="3" t="s">
        <v>579</v>
      </c>
      <c r="Y243" s="8" t="s">
        <v>576</v>
      </c>
    </row>
    <row r="244" spans="1:25" ht="45" x14ac:dyDescent="0.25">
      <c r="A244" s="19">
        <v>411</v>
      </c>
      <c r="B244" s="3" t="s">
        <v>271</v>
      </c>
      <c r="C244" s="3" t="s">
        <v>582</v>
      </c>
      <c r="D244" s="3" t="s">
        <v>583</v>
      </c>
      <c r="E244" s="3" t="s">
        <v>584</v>
      </c>
      <c r="I244" s="4">
        <f>141/100</f>
        <v>1.41</v>
      </c>
      <c r="J244" s="3">
        <f>152/100</f>
        <v>1.52</v>
      </c>
      <c r="M244" s="4">
        <f>(870+27)/100</f>
        <v>8.9700000000000006</v>
      </c>
      <c r="N244" s="5">
        <f>SUM(Table3[[#This Row],[Biomass Above Ground]:[ Soil carbon]])</f>
        <v>11.9</v>
      </c>
      <c r="O244" s="4" t="s">
        <v>574</v>
      </c>
      <c r="U244" s="6">
        <f>-2/100</f>
        <v>-0.02</v>
      </c>
      <c r="W244" s="3" t="s">
        <v>579</v>
      </c>
      <c r="Y244" s="8" t="s">
        <v>576</v>
      </c>
    </row>
    <row r="245" spans="1:25" ht="45" x14ac:dyDescent="0.25">
      <c r="A245" s="19">
        <v>412</v>
      </c>
      <c r="B245" s="3" t="s">
        <v>271</v>
      </c>
      <c r="C245" s="3" t="s">
        <v>585</v>
      </c>
      <c r="D245" s="3" t="s">
        <v>586</v>
      </c>
      <c r="E245" s="3" t="s">
        <v>587</v>
      </c>
      <c r="I245" s="4">
        <f>278/100</f>
        <v>2.78</v>
      </c>
      <c r="J245" s="3">
        <f>318/100</f>
        <v>3.18</v>
      </c>
      <c r="M245" s="4">
        <f>(2488+20)/100</f>
        <v>25.08</v>
      </c>
      <c r="N245" s="5">
        <f>SUM(Table3[[#This Row],[Biomass Above Ground]:[ Soil carbon]])</f>
        <v>31.04</v>
      </c>
      <c r="O245" s="4" t="s">
        <v>574</v>
      </c>
      <c r="U245" s="6">
        <f>-73/100</f>
        <v>-0.73</v>
      </c>
      <c r="W245" s="3" t="s">
        <v>579</v>
      </c>
      <c r="Y245" s="8" t="s">
        <v>576</v>
      </c>
    </row>
    <row r="246" spans="1:25" ht="70.5" customHeight="1" x14ac:dyDescent="0.25">
      <c r="A246" s="19">
        <v>413</v>
      </c>
      <c r="B246" s="3" t="s">
        <v>271</v>
      </c>
      <c r="C246" s="3" t="s">
        <v>271</v>
      </c>
      <c r="D246" s="3" t="s">
        <v>588</v>
      </c>
      <c r="E246" s="3" t="s">
        <v>589</v>
      </c>
      <c r="I246" s="4">
        <f>261/100</f>
        <v>2.61</v>
      </c>
      <c r="J246" s="3">
        <f>253/100</f>
        <v>2.5299999999999998</v>
      </c>
      <c r="M246" s="4">
        <f>(8701+65)/100</f>
        <v>87.66</v>
      </c>
      <c r="N246" s="5">
        <f>SUM(Table3[[#This Row],[Biomass Above Ground]:[ Soil carbon]])</f>
        <v>92.8</v>
      </c>
      <c r="O246" s="4" t="s">
        <v>574</v>
      </c>
      <c r="V246" s="3" t="s">
        <v>590</v>
      </c>
      <c r="W246" s="3" t="s">
        <v>579</v>
      </c>
      <c r="Y246" s="8" t="s">
        <v>576</v>
      </c>
    </row>
    <row r="247" spans="1:25" ht="62.25" customHeight="1" x14ac:dyDescent="0.25">
      <c r="A247" s="10">
        <v>209</v>
      </c>
      <c r="B247" s="19" t="s">
        <v>639</v>
      </c>
      <c r="C247" s="3" t="s">
        <v>265</v>
      </c>
      <c r="E247" s="3" t="s">
        <v>266</v>
      </c>
      <c r="H247" s="3">
        <v>2.1999999999999999E-2</v>
      </c>
      <c r="I247" s="4">
        <v>0.05</v>
      </c>
      <c r="M247" s="4">
        <v>20.5</v>
      </c>
      <c r="N247" s="5">
        <f t="shared" ref="N247:N253" si="6">SUM(I247:M247)</f>
        <v>20.55</v>
      </c>
      <c r="T247" s="3">
        <v>0</v>
      </c>
      <c r="U247" s="6">
        <f>SUM(P247:T247)</f>
        <v>0</v>
      </c>
      <c r="W247" s="3" t="s">
        <v>696</v>
      </c>
      <c r="Y247" s="29" t="s">
        <v>684</v>
      </c>
    </row>
    <row r="248" spans="1:25" ht="30" x14ac:dyDescent="0.25">
      <c r="A248" s="10">
        <v>210</v>
      </c>
      <c r="B248" s="19" t="s">
        <v>639</v>
      </c>
      <c r="C248" s="3" t="s">
        <v>268</v>
      </c>
      <c r="E248" s="3" t="s">
        <v>28</v>
      </c>
      <c r="F248" s="3" t="s">
        <v>41</v>
      </c>
      <c r="M248" s="4">
        <v>24</v>
      </c>
      <c r="N248" s="5">
        <f t="shared" si="6"/>
        <v>24</v>
      </c>
      <c r="W248" s="3" t="s">
        <v>116</v>
      </c>
      <c r="Y248" s="8" t="s">
        <v>31</v>
      </c>
    </row>
    <row r="249" spans="1:25" ht="30" x14ac:dyDescent="0.25">
      <c r="A249" s="10">
        <v>211</v>
      </c>
      <c r="B249" s="19" t="s">
        <v>639</v>
      </c>
      <c r="C249" s="19" t="s">
        <v>265</v>
      </c>
      <c r="E249" s="3" t="s">
        <v>266</v>
      </c>
      <c r="H249" s="3">
        <v>0.31</v>
      </c>
      <c r="I249" s="4">
        <v>6.5</v>
      </c>
      <c r="M249" s="4">
        <v>158</v>
      </c>
      <c r="N249" s="5">
        <f t="shared" si="6"/>
        <v>164.5</v>
      </c>
      <c r="T249" s="3">
        <v>0.04</v>
      </c>
      <c r="U249" s="6">
        <f>SUM(P249:T249)</f>
        <v>0.04</v>
      </c>
      <c r="W249" s="3" t="s">
        <v>270</v>
      </c>
      <c r="Y249" s="8" t="s">
        <v>605</v>
      </c>
    </row>
    <row r="250" spans="1:25" x14ac:dyDescent="0.25">
      <c r="A250" s="10">
        <v>215</v>
      </c>
      <c r="B250" s="3" t="s">
        <v>276</v>
      </c>
      <c r="C250" s="3" t="s">
        <v>277</v>
      </c>
      <c r="E250" s="3" t="s">
        <v>278</v>
      </c>
      <c r="H250" s="3">
        <v>2.97</v>
      </c>
      <c r="I250" s="4">
        <v>17</v>
      </c>
      <c r="M250" s="4">
        <v>84</v>
      </c>
      <c r="N250" s="5">
        <f t="shared" si="6"/>
        <v>101</v>
      </c>
      <c r="T250" s="3">
        <v>0.1</v>
      </c>
      <c r="U250" s="6">
        <f>SUM(P250:T250)</f>
        <v>0.1</v>
      </c>
      <c r="W250" s="3" t="s">
        <v>61</v>
      </c>
      <c r="Y250" s="29" t="s">
        <v>684</v>
      </c>
    </row>
    <row r="251" spans="1:25" x14ac:dyDescent="0.25">
      <c r="A251" s="10">
        <v>216</v>
      </c>
      <c r="B251" s="3" t="s">
        <v>276</v>
      </c>
      <c r="C251" s="3" t="s">
        <v>279</v>
      </c>
      <c r="E251" s="3" t="s">
        <v>278</v>
      </c>
      <c r="H251" s="3">
        <v>6.93</v>
      </c>
      <c r="I251" s="4">
        <v>57</v>
      </c>
      <c r="M251" s="4">
        <v>9</v>
      </c>
      <c r="N251" s="5">
        <f t="shared" si="6"/>
        <v>66</v>
      </c>
      <c r="T251" s="3">
        <v>0.28999999999999998</v>
      </c>
      <c r="U251" s="6">
        <f>SUM(P251:T251)</f>
        <v>0.28999999999999998</v>
      </c>
      <c r="W251" s="3" t="s">
        <v>61</v>
      </c>
      <c r="Y251" s="29" t="s">
        <v>684</v>
      </c>
    </row>
    <row r="252" spans="1:25" ht="30" x14ac:dyDescent="0.25">
      <c r="A252" s="10">
        <v>217</v>
      </c>
      <c r="B252" s="3" t="s">
        <v>276</v>
      </c>
      <c r="C252" s="3" t="s">
        <v>280</v>
      </c>
      <c r="E252" s="3" t="s">
        <v>278</v>
      </c>
      <c r="H252" s="3">
        <v>1.98</v>
      </c>
      <c r="I252" s="4">
        <v>73</v>
      </c>
      <c r="M252" s="4">
        <v>638</v>
      </c>
      <c r="N252" s="5">
        <f t="shared" si="6"/>
        <v>711</v>
      </c>
      <c r="T252" s="3">
        <v>0.23</v>
      </c>
      <c r="U252" s="6">
        <f>SUM(P252:T252)</f>
        <v>0.23</v>
      </c>
      <c r="W252" s="3" t="s">
        <v>61</v>
      </c>
      <c r="Y252" s="29" t="s">
        <v>684</v>
      </c>
    </row>
    <row r="253" spans="1:25" x14ac:dyDescent="0.25">
      <c r="A253" s="10">
        <v>220</v>
      </c>
      <c r="B253" s="3" t="s">
        <v>276</v>
      </c>
      <c r="C253" s="3" t="s">
        <v>197</v>
      </c>
      <c r="E253" s="3" t="s">
        <v>286</v>
      </c>
      <c r="F253" s="3" t="s">
        <v>41</v>
      </c>
      <c r="H253" s="3">
        <v>28</v>
      </c>
      <c r="I253" s="4">
        <f>0.5*10</f>
        <v>5</v>
      </c>
      <c r="N253" s="5">
        <f t="shared" si="6"/>
        <v>5</v>
      </c>
      <c r="W253" s="3" t="s">
        <v>42</v>
      </c>
      <c r="Y253" s="8" t="s">
        <v>43</v>
      </c>
    </row>
    <row r="254" spans="1:25" ht="75" x14ac:dyDescent="0.25">
      <c r="A254" s="10">
        <v>316</v>
      </c>
      <c r="B254" s="3" t="s">
        <v>276</v>
      </c>
      <c r="C254" s="3" t="s">
        <v>440</v>
      </c>
      <c r="E254" s="3" t="s">
        <v>441</v>
      </c>
      <c r="N254" s="5">
        <v>43.01</v>
      </c>
      <c r="W254" s="3" t="s">
        <v>442</v>
      </c>
      <c r="Y254" s="29" t="s">
        <v>697</v>
      </c>
    </row>
    <row r="255" spans="1:25" ht="75" x14ac:dyDescent="0.25">
      <c r="A255" s="10">
        <v>317</v>
      </c>
      <c r="B255" s="3" t="s">
        <v>276</v>
      </c>
      <c r="C255" s="3" t="s">
        <v>440</v>
      </c>
      <c r="E255" s="3" t="s">
        <v>443</v>
      </c>
      <c r="I255" s="4">
        <f>259*0.5*0.01</f>
        <v>1.2949999999999999</v>
      </c>
      <c r="J255" s="3">
        <f>853*0.5*0.01</f>
        <v>4.2649999999999997</v>
      </c>
      <c r="N255" s="5">
        <f>SUM(I255:M255)</f>
        <v>5.56</v>
      </c>
      <c r="W255" s="3" t="s">
        <v>444</v>
      </c>
      <c r="Y255" s="8" t="s">
        <v>445</v>
      </c>
    </row>
    <row r="256" spans="1:25" ht="75" x14ac:dyDescent="0.25">
      <c r="A256" s="10">
        <v>318</v>
      </c>
      <c r="B256" s="3" t="s">
        <v>276</v>
      </c>
      <c r="C256" s="3" t="s">
        <v>446</v>
      </c>
      <c r="D256" s="3" t="s">
        <v>378</v>
      </c>
      <c r="E256" s="3" t="s">
        <v>447</v>
      </c>
      <c r="J256" s="3">
        <f>533.6*0.5*0.01</f>
        <v>2.6680000000000001</v>
      </c>
      <c r="N256" s="5">
        <f>SUM(I256:M256)</f>
        <v>2.6680000000000001</v>
      </c>
      <c r="W256" s="3" t="s">
        <v>444</v>
      </c>
      <c r="Y256" s="8" t="s">
        <v>445</v>
      </c>
    </row>
    <row r="257" spans="1:26" ht="75" x14ac:dyDescent="0.25">
      <c r="A257" s="10">
        <v>319</v>
      </c>
      <c r="B257" s="3" t="s">
        <v>276</v>
      </c>
      <c r="C257" s="3" t="s">
        <v>446</v>
      </c>
      <c r="D257" s="3" t="s">
        <v>448</v>
      </c>
      <c r="E257" s="3" t="s">
        <v>447</v>
      </c>
      <c r="J257" s="3">
        <f>290*0.5*0.01</f>
        <v>1.45</v>
      </c>
      <c r="N257" s="5">
        <f>SUM(I257:M257)</f>
        <v>1.45</v>
      </c>
      <c r="W257" s="3" t="s">
        <v>444</v>
      </c>
      <c r="Y257" s="8" t="s">
        <v>445</v>
      </c>
    </row>
    <row r="258" spans="1:26" ht="60" x14ac:dyDescent="0.25">
      <c r="A258" s="10">
        <v>320</v>
      </c>
      <c r="B258" s="3" t="s">
        <v>276</v>
      </c>
      <c r="C258" s="3" t="s">
        <v>446</v>
      </c>
      <c r="D258" s="3" t="s">
        <v>449</v>
      </c>
      <c r="E258" s="3" t="s">
        <v>447</v>
      </c>
      <c r="P258" s="3">
        <f>(137-16)*0.01</f>
        <v>1.21</v>
      </c>
      <c r="Q258" s="3">
        <f>16*0.01</f>
        <v>0.16</v>
      </c>
      <c r="U258" s="6">
        <f>SUM(P258:T258)</f>
        <v>1.3699999999999999</v>
      </c>
      <c r="W258" s="3" t="s">
        <v>450</v>
      </c>
      <c r="Y258" s="8" t="s">
        <v>451</v>
      </c>
    </row>
    <row r="259" spans="1:26" ht="60" x14ac:dyDescent="0.25">
      <c r="A259" s="10">
        <v>321</v>
      </c>
      <c r="B259" s="3" t="s">
        <v>276</v>
      </c>
      <c r="C259" s="3" t="s">
        <v>446</v>
      </c>
      <c r="D259" s="3" t="s">
        <v>452</v>
      </c>
      <c r="E259" s="3" t="s">
        <v>447</v>
      </c>
      <c r="P259" s="3">
        <f>(102-13)*0.01</f>
        <v>0.89</v>
      </c>
      <c r="Q259" s="3">
        <f>13*0.01</f>
        <v>0.13</v>
      </c>
      <c r="U259" s="6">
        <f>SUM(P259:T259)</f>
        <v>1.02</v>
      </c>
      <c r="W259" s="3" t="s">
        <v>450</v>
      </c>
      <c r="Y259" s="8" t="s">
        <v>451</v>
      </c>
    </row>
    <row r="260" spans="1:26" ht="45" x14ac:dyDescent="0.25">
      <c r="A260" s="10">
        <v>322</v>
      </c>
      <c r="B260" s="3" t="s">
        <v>276</v>
      </c>
      <c r="C260" s="3" t="s">
        <v>446</v>
      </c>
      <c r="D260" s="3" t="s">
        <v>453</v>
      </c>
      <c r="E260" s="3" t="s">
        <v>447</v>
      </c>
      <c r="I260" s="4">
        <f>2970*0.5*10^-3</f>
        <v>1.4850000000000001</v>
      </c>
      <c r="J260" s="3">
        <f>6250*0.5*10^-3</f>
        <v>3.125</v>
      </c>
      <c r="K260" s="3">
        <f>280*0.5*10^-3</f>
        <v>0.14000000000000001</v>
      </c>
      <c r="L260" s="3">
        <f>1660*0.5*10^-3</f>
        <v>0.83000000000000007</v>
      </c>
      <c r="M260" s="4">
        <f>(11400+1020)*0.5*10^-3</f>
        <v>6.21</v>
      </c>
      <c r="N260" s="5">
        <f>SUM(I260:M260)</f>
        <v>11.79</v>
      </c>
      <c r="W260" s="3" t="s">
        <v>454</v>
      </c>
      <c r="Y260" s="8" t="s">
        <v>455</v>
      </c>
    </row>
    <row r="261" spans="1:26" ht="45" x14ac:dyDescent="0.25">
      <c r="A261" s="10">
        <v>323</v>
      </c>
      <c r="B261" s="3" t="s">
        <v>276</v>
      </c>
      <c r="C261" s="3" t="s">
        <v>446</v>
      </c>
      <c r="D261" s="3" t="s">
        <v>456</v>
      </c>
      <c r="E261" s="3" t="s">
        <v>447</v>
      </c>
      <c r="I261" s="4">
        <f>6720*0.5*10^-3</f>
        <v>3.36</v>
      </c>
      <c r="J261" s="3">
        <f>7980*0.5*10^-3</f>
        <v>3.99</v>
      </c>
      <c r="K261" s="3">
        <f>460*0.5*10^-3</f>
        <v>0.23</v>
      </c>
      <c r="L261" s="3">
        <f>2060*0.5*10^-3</f>
        <v>1.03</v>
      </c>
      <c r="M261" s="4">
        <f>(13200+2680)*0.5*10^-3</f>
        <v>7.94</v>
      </c>
      <c r="N261" s="5">
        <f>SUM(I261:M261)</f>
        <v>16.55</v>
      </c>
      <c r="W261" s="3" t="s">
        <v>454</v>
      </c>
      <c r="Y261" s="8" t="s">
        <v>455</v>
      </c>
    </row>
    <row r="262" spans="1:26" ht="45" x14ac:dyDescent="0.25">
      <c r="A262" s="10">
        <v>324</v>
      </c>
      <c r="B262" s="3" t="s">
        <v>276</v>
      </c>
      <c r="C262" s="3" t="s">
        <v>446</v>
      </c>
      <c r="D262" s="3" t="s">
        <v>457</v>
      </c>
      <c r="E262" s="3" t="s">
        <v>447</v>
      </c>
      <c r="I262" s="4">
        <f>4570*0.5*10^-3</f>
        <v>2.2850000000000001</v>
      </c>
      <c r="J262" s="3">
        <f>4090*0.5*10^-3</f>
        <v>2.0449999999999999</v>
      </c>
      <c r="K262" s="3">
        <f>630*0.5*10^-3</f>
        <v>0.315</v>
      </c>
      <c r="L262" s="3">
        <f>1740*0.5*10^-3</f>
        <v>0.87</v>
      </c>
      <c r="M262" s="4">
        <f>(46100+2430)*0.5*10^-3</f>
        <v>24.265000000000001</v>
      </c>
      <c r="N262" s="5">
        <f>SUM(I262:M262)</f>
        <v>29.78</v>
      </c>
      <c r="W262" s="3" t="s">
        <v>454</v>
      </c>
      <c r="Y262" s="8" t="s">
        <v>455</v>
      </c>
    </row>
    <row r="263" spans="1:26" ht="60" x14ac:dyDescent="0.25">
      <c r="A263" s="19">
        <v>386</v>
      </c>
      <c r="B263" s="3" t="s">
        <v>276</v>
      </c>
      <c r="C263" s="3" t="s">
        <v>32</v>
      </c>
      <c r="E263" s="3" t="s">
        <v>538</v>
      </c>
      <c r="M263" s="4">
        <v>220</v>
      </c>
      <c r="N263" s="5">
        <f>SUM(Table3[[#This Row],[Biomass Above Ground]:[ Soil carbon]])</f>
        <v>220</v>
      </c>
      <c r="W263" s="3" t="s">
        <v>539</v>
      </c>
      <c r="X263" s="3" t="s">
        <v>524</v>
      </c>
      <c r="Y263" s="8" t="s">
        <v>525</v>
      </c>
    </row>
    <row r="264" spans="1:26" ht="180" x14ac:dyDescent="0.25">
      <c r="A264" s="10">
        <v>221</v>
      </c>
      <c r="B264" s="3" t="s">
        <v>287</v>
      </c>
      <c r="C264" s="3" t="s">
        <v>288</v>
      </c>
      <c r="D264" s="3" t="s">
        <v>289</v>
      </c>
      <c r="E264" s="3" t="s">
        <v>216</v>
      </c>
      <c r="N264" s="5">
        <f>AVERAGE(18.31, 17.17, 15.85, 14.84)*0.5*100</f>
        <v>827.125</v>
      </c>
      <c r="O264" s="4" t="s">
        <v>290</v>
      </c>
      <c r="U264" s="6">
        <f>AVERAGE(16.6, 16.7, 15.4, 15.7)/100</f>
        <v>0.16099999999999998</v>
      </c>
      <c r="W264" s="3" t="s">
        <v>291</v>
      </c>
      <c r="Y264" s="8" t="s">
        <v>292</v>
      </c>
    </row>
    <row r="265" spans="1:26" ht="25.5" customHeight="1" x14ac:dyDescent="0.25">
      <c r="A265" s="10">
        <v>222</v>
      </c>
      <c r="B265" s="3" t="s">
        <v>287</v>
      </c>
      <c r="C265" s="3" t="s">
        <v>293</v>
      </c>
      <c r="D265" s="3" t="s">
        <v>294</v>
      </c>
      <c r="E265" s="3" t="s">
        <v>216</v>
      </c>
      <c r="N265" s="5">
        <f>AVERAGE(7.2, 2.91, 5.15, 5.52)*0.5*100</f>
        <v>259.75</v>
      </c>
      <c r="O265" s="4" t="s">
        <v>290</v>
      </c>
      <c r="U265" s="6">
        <f>AVERAGE(17.7, 22.3, 21.4, 20.8)/100</f>
        <v>0.20550000000000002</v>
      </c>
      <c r="W265" s="3" t="s">
        <v>295</v>
      </c>
      <c r="Y265" s="8" t="s">
        <v>292</v>
      </c>
    </row>
    <row r="266" spans="1:26" ht="120" x14ac:dyDescent="0.25">
      <c r="A266" s="10">
        <v>227</v>
      </c>
      <c r="B266" s="3" t="s">
        <v>287</v>
      </c>
      <c r="C266" s="3" t="s">
        <v>301</v>
      </c>
      <c r="D266" s="3" t="s">
        <v>302</v>
      </c>
      <c r="E266" s="3" t="s">
        <v>303</v>
      </c>
      <c r="I266" s="11"/>
      <c r="U266" s="6">
        <v>0.14000000000000001</v>
      </c>
      <c r="V266" s="3" t="s">
        <v>77</v>
      </c>
      <c r="W266" s="3" t="s">
        <v>304</v>
      </c>
      <c r="X266" s="3" t="s">
        <v>698</v>
      </c>
      <c r="Y266" s="29" t="s">
        <v>699</v>
      </c>
    </row>
    <row r="267" spans="1:26" ht="105" x14ac:dyDescent="0.25">
      <c r="A267" s="10">
        <v>228</v>
      </c>
      <c r="B267" s="3" t="s">
        <v>287</v>
      </c>
      <c r="C267" s="3" t="s">
        <v>301</v>
      </c>
      <c r="D267" s="3" t="s">
        <v>302</v>
      </c>
      <c r="E267" s="3" t="s">
        <v>303</v>
      </c>
      <c r="I267" s="11"/>
      <c r="U267" s="6">
        <v>0.72</v>
      </c>
      <c r="V267" s="3" t="s">
        <v>78</v>
      </c>
      <c r="W267" s="3" t="s">
        <v>304</v>
      </c>
      <c r="X267" s="3" t="s">
        <v>606</v>
      </c>
      <c r="Y267" s="29" t="s">
        <v>699</v>
      </c>
    </row>
    <row r="268" spans="1:26" ht="75" x14ac:dyDescent="0.25">
      <c r="A268" s="10">
        <v>229</v>
      </c>
      <c r="B268" s="3" t="s">
        <v>287</v>
      </c>
      <c r="C268" s="3" t="s">
        <v>301</v>
      </c>
      <c r="E268" s="3" t="s">
        <v>305</v>
      </c>
      <c r="U268" s="6">
        <v>0.17799999999999999</v>
      </c>
      <c r="V268" s="3" t="s">
        <v>306</v>
      </c>
      <c r="W268" s="3" t="s">
        <v>307</v>
      </c>
      <c r="X268" s="3" t="s">
        <v>308</v>
      </c>
      <c r="Y268" s="8" t="s">
        <v>309</v>
      </c>
      <c r="Z268" s="8" t="s">
        <v>310</v>
      </c>
    </row>
    <row r="269" spans="1:26" ht="45" x14ac:dyDescent="0.25">
      <c r="A269" s="10">
        <v>230</v>
      </c>
      <c r="B269" s="3" t="s">
        <v>287</v>
      </c>
      <c r="C269" s="3" t="s">
        <v>301</v>
      </c>
      <c r="E269" s="3" t="s">
        <v>311</v>
      </c>
      <c r="U269" s="6">
        <v>0.21</v>
      </c>
      <c r="W269" s="3" t="s">
        <v>312</v>
      </c>
      <c r="X269" s="3" t="s">
        <v>313</v>
      </c>
      <c r="Y269" s="8" t="s">
        <v>314</v>
      </c>
    </row>
    <row r="270" spans="1:26" ht="30" x14ac:dyDescent="0.25">
      <c r="A270" s="10">
        <v>231</v>
      </c>
      <c r="B270" s="3" t="s">
        <v>287</v>
      </c>
      <c r="C270" s="3" t="s">
        <v>301</v>
      </c>
      <c r="E270" s="3" t="s">
        <v>315</v>
      </c>
      <c r="U270" s="6">
        <v>0.21</v>
      </c>
      <c r="W270" s="3" t="s">
        <v>316</v>
      </c>
      <c r="X270" s="3" t="s">
        <v>317</v>
      </c>
      <c r="Y270" s="20" t="s">
        <v>318</v>
      </c>
    </row>
    <row r="271" spans="1:26" ht="30" x14ac:dyDescent="0.25">
      <c r="A271" s="10">
        <v>232</v>
      </c>
      <c r="B271" s="3" t="s">
        <v>287</v>
      </c>
      <c r="C271" s="3" t="s">
        <v>319</v>
      </c>
      <c r="U271" s="6">
        <v>0.19</v>
      </c>
      <c r="V271" s="3" t="s">
        <v>77</v>
      </c>
      <c r="W271" s="3" t="s">
        <v>320</v>
      </c>
      <c r="Y271" s="20" t="s">
        <v>321</v>
      </c>
    </row>
    <row r="272" spans="1:26" ht="30" x14ac:dyDescent="0.25">
      <c r="A272" s="10">
        <v>233</v>
      </c>
      <c r="B272" s="3" t="s">
        <v>287</v>
      </c>
      <c r="C272" s="3" t="s">
        <v>319</v>
      </c>
      <c r="U272" s="6">
        <v>0.3</v>
      </c>
      <c r="V272" s="3" t="s">
        <v>78</v>
      </c>
      <c r="W272" s="3" t="s">
        <v>320</v>
      </c>
      <c r="Y272" s="3" t="s">
        <v>321</v>
      </c>
    </row>
    <row r="273" spans="1:25" ht="30" x14ac:dyDescent="0.25">
      <c r="A273" s="10">
        <v>243</v>
      </c>
      <c r="B273" s="3" t="s">
        <v>287</v>
      </c>
      <c r="C273" s="3" t="s">
        <v>325</v>
      </c>
      <c r="D273" s="3" t="s">
        <v>326</v>
      </c>
      <c r="E273" s="3" t="s">
        <v>216</v>
      </c>
      <c r="N273" s="5">
        <f>AVERAGE(17.27, 14.17, 14.71, 12.55)*0.5*100</f>
        <v>733.75</v>
      </c>
      <c r="O273" s="4" t="s">
        <v>290</v>
      </c>
      <c r="U273" s="6">
        <f>AVERAGE(16.7, 17, 15.1, 15.6)/100</f>
        <v>0.161</v>
      </c>
      <c r="W273" s="3" t="s">
        <v>295</v>
      </c>
      <c r="Y273" s="8" t="s">
        <v>292</v>
      </c>
    </row>
    <row r="274" spans="1:25" ht="75" x14ac:dyDescent="0.25">
      <c r="A274" s="10">
        <v>245</v>
      </c>
      <c r="B274" s="3" t="s">
        <v>287</v>
      </c>
      <c r="C274" s="3" t="s">
        <v>327</v>
      </c>
      <c r="E274" s="3" t="s">
        <v>328</v>
      </c>
      <c r="U274" s="6">
        <f>74.7/100</f>
        <v>0.747</v>
      </c>
      <c r="V274" s="3" t="s">
        <v>306</v>
      </c>
      <c r="W274" s="3" t="s">
        <v>329</v>
      </c>
      <c r="X274" s="3" t="s">
        <v>330</v>
      </c>
      <c r="Y274" s="8" t="s">
        <v>331</v>
      </c>
    </row>
    <row r="275" spans="1:25" ht="75" x14ac:dyDescent="0.25">
      <c r="A275" s="10">
        <v>246</v>
      </c>
      <c r="B275" s="3" t="s">
        <v>287</v>
      </c>
      <c r="C275" s="3" t="s">
        <v>327</v>
      </c>
      <c r="E275" s="3" t="s">
        <v>328</v>
      </c>
      <c r="U275" s="6">
        <f>95.4/100</f>
        <v>0.95400000000000007</v>
      </c>
      <c r="V275" s="3" t="s">
        <v>306</v>
      </c>
      <c r="W275" s="3" t="s">
        <v>329</v>
      </c>
      <c r="X275" s="3" t="s">
        <v>330</v>
      </c>
      <c r="Y275" s="8" t="s">
        <v>331</v>
      </c>
    </row>
    <row r="276" spans="1:25" ht="45" x14ac:dyDescent="0.25">
      <c r="A276" s="10">
        <v>247</v>
      </c>
      <c r="B276" s="3" t="s">
        <v>287</v>
      </c>
      <c r="C276" s="3" t="s">
        <v>332</v>
      </c>
      <c r="E276" s="3" t="s">
        <v>333</v>
      </c>
      <c r="T276" s="3">
        <v>1.8</v>
      </c>
      <c r="U276" s="6">
        <f>SUM(P276:T276)</f>
        <v>1.8</v>
      </c>
      <c r="W276" s="3" t="s">
        <v>334</v>
      </c>
      <c r="Y276" s="9" t="s">
        <v>335</v>
      </c>
    </row>
    <row r="277" spans="1:25" x14ac:dyDescent="0.25">
      <c r="A277" s="10">
        <v>248</v>
      </c>
      <c r="B277" s="3" t="s">
        <v>287</v>
      </c>
      <c r="C277" s="3" t="s">
        <v>259</v>
      </c>
      <c r="E277" s="3" t="s">
        <v>22</v>
      </c>
      <c r="I277" s="4">
        <v>2</v>
      </c>
      <c r="N277" s="5">
        <f>SUM(Table3[[#This Row],[Biomass Above Ground]:[ Soil carbon]])</f>
        <v>2</v>
      </c>
      <c r="W277" s="3" t="s">
        <v>249</v>
      </c>
      <c r="X277" s="3" t="s">
        <v>25</v>
      </c>
      <c r="Y277" s="8" t="s">
        <v>26</v>
      </c>
    </row>
    <row r="278" spans="1:25" ht="105" x14ac:dyDescent="0.25">
      <c r="A278" s="10">
        <v>249</v>
      </c>
      <c r="B278" s="3" t="s">
        <v>287</v>
      </c>
      <c r="C278" s="3" t="s">
        <v>322</v>
      </c>
      <c r="D278" s="3" t="s">
        <v>336</v>
      </c>
      <c r="E278" s="3" t="s">
        <v>337</v>
      </c>
      <c r="T278" s="3">
        <v>1.39</v>
      </c>
      <c r="U278" s="6">
        <f>SUM(P278:T278)</f>
        <v>1.39</v>
      </c>
      <c r="W278" s="3" t="s">
        <v>338</v>
      </c>
      <c r="X278" s="3" t="s">
        <v>339</v>
      </c>
      <c r="Y278" s="8" t="s">
        <v>340</v>
      </c>
    </row>
    <row r="279" spans="1:25" ht="45" x14ac:dyDescent="0.25">
      <c r="A279" s="10">
        <v>250</v>
      </c>
      <c r="B279" s="3" t="s">
        <v>287</v>
      </c>
      <c r="C279" s="3" t="s">
        <v>322</v>
      </c>
      <c r="D279" s="3" t="s">
        <v>336</v>
      </c>
      <c r="E279" s="3" t="s">
        <v>337</v>
      </c>
      <c r="I279" s="4">
        <v>148</v>
      </c>
      <c r="M279" s="4">
        <v>320</v>
      </c>
      <c r="N279" s="5">
        <f>SUM(I279:M279)</f>
        <v>468</v>
      </c>
      <c r="W279" s="3" t="s">
        <v>341</v>
      </c>
      <c r="Y279" s="9" t="s">
        <v>342</v>
      </c>
    </row>
    <row r="280" spans="1:25" x14ac:dyDescent="0.25">
      <c r="A280" s="10">
        <v>251</v>
      </c>
      <c r="B280" s="3" t="s">
        <v>287</v>
      </c>
      <c r="C280" s="3" t="s">
        <v>343</v>
      </c>
      <c r="D280" s="3" t="s">
        <v>21</v>
      </c>
      <c r="E280" s="3" t="s">
        <v>22</v>
      </c>
      <c r="M280" s="4">
        <v>76</v>
      </c>
      <c r="N280" s="5">
        <f>SUM(Table3[[#This Row],[Biomass Above Ground]:[ Soil carbon]])</f>
        <v>76</v>
      </c>
      <c r="O280" s="4" t="s">
        <v>23</v>
      </c>
      <c r="W280" s="3" t="s">
        <v>24</v>
      </c>
      <c r="X280" s="3" t="s">
        <v>25</v>
      </c>
      <c r="Y280" s="8" t="s">
        <v>26</v>
      </c>
    </row>
    <row r="281" spans="1:25" x14ac:dyDescent="0.25">
      <c r="A281" s="10">
        <v>252</v>
      </c>
      <c r="B281" s="3" t="s">
        <v>287</v>
      </c>
      <c r="C281" s="3" t="s">
        <v>343</v>
      </c>
      <c r="E281" s="3" t="s">
        <v>22</v>
      </c>
      <c r="M281" s="4">
        <v>76</v>
      </c>
      <c r="N281" s="5">
        <f>SUM(Table3[[#This Row],[Biomass Above Ground]:[ Soil carbon]])</f>
        <v>76</v>
      </c>
      <c r="O281" s="4" t="s">
        <v>23</v>
      </c>
      <c r="W281" s="3" t="s">
        <v>92</v>
      </c>
      <c r="X281" s="3" t="s">
        <v>25</v>
      </c>
      <c r="Y281" s="8" t="s">
        <v>26</v>
      </c>
    </row>
    <row r="282" spans="1:25" ht="30" x14ac:dyDescent="0.25">
      <c r="A282" s="10">
        <v>253</v>
      </c>
      <c r="B282" s="3" t="s">
        <v>287</v>
      </c>
      <c r="C282" s="3" t="s">
        <v>344</v>
      </c>
      <c r="E282" s="3" t="s">
        <v>216</v>
      </c>
      <c r="F282" s="3" t="s">
        <v>254</v>
      </c>
      <c r="T282" s="3">
        <v>0.26</v>
      </c>
      <c r="U282" s="6">
        <f>SUM(P282:T282)</f>
        <v>0.26</v>
      </c>
      <c r="W282" s="3" t="s">
        <v>345</v>
      </c>
      <c r="Y282" s="8" t="s">
        <v>346</v>
      </c>
    </row>
    <row r="283" spans="1:25" ht="30" x14ac:dyDescent="0.25">
      <c r="A283" s="10">
        <v>254</v>
      </c>
      <c r="B283" s="3" t="s">
        <v>287</v>
      </c>
      <c r="C283" s="3" t="s">
        <v>344</v>
      </c>
      <c r="D283" s="3" t="s">
        <v>347</v>
      </c>
      <c r="E283" s="3" t="s">
        <v>40</v>
      </c>
      <c r="F283" s="3" t="s">
        <v>41</v>
      </c>
      <c r="H283" s="3">
        <v>21</v>
      </c>
      <c r="I283" s="4">
        <f>2*10</f>
        <v>20</v>
      </c>
      <c r="N283" s="5">
        <f>SUM(I283:M283)</f>
        <v>20</v>
      </c>
      <c r="W283" s="3" t="s">
        <v>42</v>
      </c>
      <c r="Y283" s="8" t="s">
        <v>43</v>
      </c>
    </row>
    <row r="284" spans="1:25" ht="45" x14ac:dyDescent="0.25">
      <c r="A284" s="10">
        <v>255</v>
      </c>
      <c r="B284" s="3" t="s">
        <v>287</v>
      </c>
      <c r="C284" s="3" t="s">
        <v>348</v>
      </c>
      <c r="D284" s="3" t="s">
        <v>349</v>
      </c>
      <c r="E284" s="3" t="s">
        <v>216</v>
      </c>
      <c r="N284" s="5">
        <f>AVERAGE(12.9, 10.83, 9.01, 9.71)*0.5*100</f>
        <v>530.625</v>
      </c>
      <c r="O284" s="4" t="s">
        <v>290</v>
      </c>
      <c r="U284" s="6">
        <f>AVERAGE(16.6, 18.7, 16.4, 15.4)/100</f>
        <v>0.16774999999999998</v>
      </c>
      <c r="W284" s="3" t="s">
        <v>295</v>
      </c>
      <c r="Y284" s="8" t="s">
        <v>292</v>
      </c>
    </row>
    <row r="285" spans="1:25" x14ac:dyDescent="0.25">
      <c r="A285" s="10">
        <v>256</v>
      </c>
      <c r="B285" s="3" t="s">
        <v>287</v>
      </c>
      <c r="C285" s="3" t="s">
        <v>350</v>
      </c>
      <c r="E285" s="3" t="s">
        <v>278</v>
      </c>
      <c r="H285" s="3">
        <v>2.38</v>
      </c>
      <c r="I285" s="4">
        <v>21</v>
      </c>
      <c r="M285" s="4">
        <v>295</v>
      </c>
      <c r="N285" s="5">
        <f>SUM(I285:M285)</f>
        <v>316</v>
      </c>
      <c r="T285" s="3">
        <v>0.27</v>
      </c>
      <c r="U285" s="6">
        <f>SUM(P285:T285)</f>
        <v>0.27</v>
      </c>
      <c r="W285" s="3" t="s">
        <v>61</v>
      </c>
      <c r="Y285" s="29" t="s">
        <v>684</v>
      </c>
    </row>
    <row r="286" spans="1:25" ht="165" x14ac:dyDescent="0.25">
      <c r="A286" s="10">
        <v>257</v>
      </c>
      <c r="B286" s="3" t="s">
        <v>287</v>
      </c>
      <c r="C286" s="3" t="s">
        <v>351</v>
      </c>
      <c r="E286" s="3" t="s">
        <v>352</v>
      </c>
      <c r="I286" s="11"/>
      <c r="U286" s="6">
        <v>7.0000000000000007E-2</v>
      </c>
      <c r="W286" s="3" t="s">
        <v>353</v>
      </c>
      <c r="X286" s="3" t="s">
        <v>354</v>
      </c>
      <c r="Y286" s="8" t="s">
        <v>355</v>
      </c>
    </row>
    <row r="287" spans="1:25" ht="195" x14ac:dyDescent="0.25">
      <c r="A287" s="10">
        <v>258</v>
      </c>
      <c r="B287" s="3" t="s">
        <v>287</v>
      </c>
      <c r="C287" s="3" t="s">
        <v>356</v>
      </c>
      <c r="D287" s="3" t="s">
        <v>357</v>
      </c>
      <c r="E287" s="3" t="s">
        <v>216</v>
      </c>
      <c r="N287" s="5">
        <f>AVERAGE(4.91, 3.71, 5.3, 5.63)*0.5*100</f>
        <v>244.375</v>
      </c>
      <c r="U287" s="6">
        <f>AVERAGE(26.8, 32.5, 21.8, 21.1)/100</f>
        <v>0.25549999999999995</v>
      </c>
      <c r="V287" s="3" t="s">
        <v>358</v>
      </c>
      <c r="W287" s="3" t="s">
        <v>607</v>
      </c>
      <c r="Y287" s="8" t="s">
        <v>608</v>
      </c>
    </row>
    <row r="288" spans="1:25" ht="90" x14ac:dyDescent="0.25">
      <c r="A288" s="10">
        <v>259</v>
      </c>
      <c r="B288" s="3" t="s">
        <v>287</v>
      </c>
      <c r="C288" s="3" t="s">
        <v>359</v>
      </c>
      <c r="D288" s="3" t="s">
        <v>360</v>
      </c>
      <c r="E288" s="3" t="s">
        <v>361</v>
      </c>
      <c r="I288" s="11"/>
      <c r="U288" s="6">
        <v>0.89</v>
      </c>
      <c r="W288" s="3" t="s">
        <v>362</v>
      </c>
      <c r="X288" s="3" t="s">
        <v>609</v>
      </c>
      <c r="Y288" s="8" t="s">
        <v>610</v>
      </c>
    </row>
    <row r="289" spans="1:26" ht="45" x14ac:dyDescent="0.25">
      <c r="A289" s="10">
        <v>260</v>
      </c>
      <c r="B289" s="3" t="s">
        <v>287</v>
      </c>
      <c r="C289" s="3" t="s">
        <v>363</v>
      </c>
      <c r="I289" s="11"/>
      <c r="M289" s="11">
        <v>175</v>
      </c>
      <c r="N289" s="5">
        <f>SUM(I289:M289)</f>
        <v>175</v>
      </c>
      <c r="O289" s="4" t="s">
        <v>364</v>
      </c>
      <c r="W289" s="3" t="s">
        <v>365</v>
      </c>
      <c r="Y289" s="8" t="s">
        <v>31</v>
      </c>
    </row>
    <row r="290" spans="1:26" ht="75" x14ac:dyDescent="0.25">
      <c r="A290" s="10">
        <v>261</v>
      </c>
      <c r="B290" s="3" t="s">
        <v>287</v>
      </c>
      <c r="C290" s="3" t="s">
        <v>366</v>
      </c>
      <c r="D290" s="3" t="s">
        <v>367</v>
      </c>
      <c r="E290" s="3" t="s">
        <v>216</v>
      </c>
      <c r="N290" s="5">
        <f>AVERAGE(12.85, 10.82, 13.3, 13.35)*0.5*100</f>
        <v>629</v>
      </c>
      <c r="O290" s="4" t="s">
        <v>290</v>
      </c>
      <c r="U290" s="6">
        <f>AVERAGE(29.8, 32.3, 15.7, 15.7)/100</f>
        <v>0.23375000000000001</v>
      </c>
      <c r="W290" s="3" t="s">
        <v>295</v>
      </c>
      <c r="Y290" s="8" t="s">
        <v>292</v>
      </c>
    </row>
    <row r="291" spans="1:26" ht="30" x14ac:dyDescent="0.25">
      <c r="A291" s="10">
        <v>262</v>
      </c>
      <c r="B291" s="3" t="s">
        <v>287</v>
      </c>
      <c r="C291" s="3" t="s">
        <v>368</v>
      </c>
      <c r="E291" s="3" t="s">
        <v>369</v>
      </c>
      <c r="F291" s="3" t="s">
        <v>254</v>
      </c>
      <c r="T291" s="3">
        <v>0.28999999999999998</v>
      </c>
      <c r="U291" s="6">
        <f t="shared" ref="U291:U296" si="7">SUM(P291:T291)</f>
        <v>0.28999999999999998</v>
      </c>
      <c r="W291" s="3" t="s">
        <v>320</v>
      </c>
      <c r="Y291" s="3" t="s">
        <v>321</v>
      </c>
    </row>
    <row r="292" spans="1:26" ht="30" x14ac:dyDescent="0.25">
      <c r="A292" s="10">
        <v>263</v>
      </c>
      <c r="B292" s="3" t="s">
        <v>287</v>
      </c>
      <c r="C292" s="3" t="s">
        <v>368</v>
      </c>
      <c r="D292" s="3" t="s">
        <v>370</v>
      </c>
      <c r="E292" s="3" t="s">
        <v>369</v>
      </c>
      <c r="F292" s="3" t="s">
        <v>254</v>
      </c>
      <c r="T292" s="3">
        <v>0.22</v>
      </c>
      <c r="U292" s="6">
        <f t="shared" si="7"/>
        <v>0.22</v>
      </c>
      <c r="W292" s="3" t="s">
        <v>371</v>
      </c>
      <c r="Y292" s="8" t="s">
        <v>372</v>
      </c>
    </row>
    <row r="293" spans="1:26" ht="45" x14ac:dyDescent="0.25">
      <c r="A293" s="10">
        <v>264</v>
      </c>
      <c r="B293" s="3" t="s">
        <v>287</v>
      </c>
      <c r="C293" s="3" t="s">
        <v>368</v>
      </c>
      <c r="E293" s="3" t="s">
        <v>216</v>
      </c>
      <c r="T293" s="3">
        <v>0.46</v>
      </c>
      <c r="U293" s="6">
        <f t="shared" si="7"/>
        <v>0.46</v>
      </c>
      <c r="W293" s="3" t="s">
        <v>373</v>
      </c>
      <c r="Y293" s="8" t="s">
        <v>292</v>
      </c>
    </row>
    <row r="294" spans="1:26" ht="45" x14ac:dyDescent="0.25">
      <c r="A294" s="10">
        <v>265</v>
      </c>
      <c r="B294" s="3" t="s">
        <v>287</v>
      </c>
      <c r="C294" s="3" t="s">
        <v>368</v>
      </c>
      <c r="E294" s="3" t="s">
        <v>374</v>
      </c>
      <c r="F294" s="3" t="s">
        <v>254</v>
      </c>
      <c r="T294" s="3">
        <v>0.3</v>
      </c>
      <c r="U294" s="6">
        <f t="shared" si="7"/>
        <v>0.3</v>
      </c>
      <c r="V294" s="4" t="s">
        <v>375</v>
      </c>
      <c r="W294" s="3" t="s">
        <v>376</v>
      </c>
      <c r="Y294" s="20" t="s">
        <v>377</v>
      </c>
    </row>
    <row r="295" spans="1:26" ht="30" x14ac:dyDescent="0.25">
      <c r="A295" s="10">
        <v>266</v>
      </c>
      <c r="B295" s="3" t="s">
        <v>287</v>
      </c>
      <c r="C295" s="3" t="s">
        <v>368</v>
      </c>
      <c r="D295" s="3" t="s">
        <v>378</v>
      </c>
      <c r="E295" s="3" t="s">
        <v>269</v>
      </c>
      <c r="T295" s="3">
        <v>2.8</v>
      </c>
      <c r="U295" s="6">
        <f t="shared" si="7"/>
        <v>2.8</v>
      </c>
      <c r="W295" s="3" t="s">
        <v>379</v>
      </c>
      <c r="Y295" s="8" t="s">
        <v>218</v>
      </c>
    </row>
    <row r="296" spans="1:26" ht="45" x14ac:dyDescent="0.25">
      <c r="A296" s="10">
        <v>267</v>
      </c>
      <c r="B296" s="3" t="s">
        <v>287</v>
      </c>
      <c r="C296" s="3" t="s">
        <v>368</v>
      </c>
      <c r="E296" s="3" t="s">
        <v>380</v>
      </c>
      <c r="T296" s="3">
        <v>0.1</v>
      </c>
      <c r="U296" s="6">
        <f t="shared" si="7"/>
        <v>0.1</v>
      </c>
      <c r="W296" s="3" t="s">
        <v>373</v>
      </c>
      <c r="Y296" s="8" t="s">
        <v>292</v>
      </c>
    </row>
    <row r="297" spans="1:26" x14ac:dyDescent="0.25">
      <c r="A297" s="10">
        <v>268</v>
      </c>
      <c r="B297" s="3" t="s">
        <v>287</v>
      </c>
      <c r="C297" s="3" t="s">
        <v>368</v>
      </c>
      <c r="E297" s="3" t="s">
        <v>22</v>
      </c>
      <c r="U297" s="6">
        <v>0.2</v>
      </c>
      <c r="W297" s="3" t="s">
        <v>316</v>
      </c>
      <c r="X297" s="3" t="s">
        <v>25</v>
      </c>
      <c r="Y297" s="8" t="s">
        <v>26</v>
      </c>
      <c r="Z297" s="30" t="s">
        <v>318</v>
      </c>
    </row>
    <row r="298" spans="1:26" x14ac:dyDescent="0.25">
      <c r="A298" s="10">
        <v>269</v>
      </c>
      <c r="B298" s="3" t="s">
        <v>287</v>
      </c>
      <c r="C298" s="3" t="s">
        <v>368</v>
      </c>
      <c r="E298" s="3" t="s">
        <v>22</v>
      </c>
      <c r="U298" s="6">
        <v>0.5</v>
      </c>
      <c r="W298" s="3" t="s">
        <v>316</v>
      </c>
      <c r="X298" s="3" t="s">
        <v>25</v>
      </c>
      <c r="Y298" s="8" t="s">
        <v>26</v>
      </c>
      <c r="Z298" s="20" t="s">
        <v>318</v>
      </c>
    </row>
    <row r="299" spans="1:26" x14ac:dyDescent="0.25">
      <c r="A299" s="10">
        <v>270</v>
      </c>
      <c r="B299" s="3" t="s">
        <v>287</v>
      </c>
      <c r="C299" s="3" t="s">
        <v>368</v>
      </c>
      <c r="E299" s="3" t="s">
        <v>22</v>
      </c>
      <c r="I299" s="4">
        <v>2</v>
      </c>
      <c r="N299" s="5">
        <f>SUM(Table3[[#This Row],[Biomass Above Ground]:[ Soil carbon]])</f>
        <v>2</v>
      </c>
      <c r="W299" s="3" t="s">
        <v>249</v>
      </c>
      <c r="X299" s="3" t="s">
        <v>25</v>
      </c>
      <c r="Y299" s="8" t="s">
        <v>26</v>
      </c>
    </row>
    <row r="300" spans="1:26" ht="30" x14ac:dyDescent="0.25">
      <c r="A300" s="10">
        <v>271</v>
      </c>
      <c r="B300" s="3" t="s">
        <v>287</v>
      </c>
      <c r="C300" s="3" t="s">
        <v>368</v>
      </c>
      <c r="D300" s="3" t="s">
        <v>381</v>
      </c>
      <c r="E300" s="3" t="s">
        <v>28</v>
      </c>
      <c r="I300" s="11">
        <v>2.5</v>
      </c>
      <c r="M300" s="11"/>
      <c r="N300" s="5">
        <f>SUM(I300:M300)</f>
        <v>2.5</v>
      </c>
      <c r="W300" s="3" t="s">
        <v>209</v>
      </c>
      <c r="Y300" s="8" t="s">
        <v>210</v>
      </c>
    </row>
    <row r="301" spans="1:26" ht="30" x14ac:dyDescent="0.25">
      <c r="A301" s="10">
        <v>272</v>
      </c>
      <c r="B301" s="3" t="s">
        <v>287</v>
      </c>
      <c r="C301" s="3" t="s">
        <v>368</v>
      </c>
      <c r="D301" s="3" t="s">
        <v>382</v>
      </c>
      <c r="E301" s="3" t="s">
        <v>28</v>
      </c>
      <c r="I301" s="11">
        <v>1</v>
      </c>
      <c r="N301" s="5">
        <f>SUM(I301:M301)</f>
        <v>1</v>
      </c>
      <c r="W301" s="3" t="s">
        <v>383</v>
      </c>
      <c r="Y301" s="8" t="s">
        <v>210</v>
      </c>
    </row>
    <row r="302" spans="1:26" ht="30" x14ac:dyDescent="0.25">
      <c r="A302" s="10">
        <v>273</v>
      </c>
      <c r="B302" s="3" t="s">
        <v>287</v>
      </c>
      <c r="C302" s="3" t="s">
        <v>368</v>
      </c>
      <c r="D302" s="3" t="s">
        <v>382</v>
      </c>
      <c r="E302" s="3" t="s">
        <v>28</v>
      </c>
      <c r="I302" s="11">
        <v>2</v>
      </c>
      <c r="N302" s="5">
        <f>SUM(I302:M302)</f>
        <v>2</v>
      </c>
      <c r="W302" s="3" t="s">
        <v>383</v>
      </c>
      <c r="Y302" s="8" t="s">
        <v>210</v>
      </c>
    </row>
    <row r="303" spans="1:26" ht="45" x14ac:dyDescent="0.25">
      <c r="A303" s="10">
        <v>274</v>
      </c>
      <c r="B303" s="3" t="s">
        <v>287</v>
      </c>
      <c r="C303" s="3" t="s">
        <v>368</v>
      </c>
      <c r="D303" s="3" t="s">
        <v>384</v>
      </c>
      <c r="E303" s="3" t="s">
        <v>269</v>
      </c>
      <c r="I303" s="11"/>
      <c r="M303" s="11">
        <v>75</v>
      </c>
      <c r="N303" s="5">
        <f>SUM(I303:M303)</f>
        <v>75</v>
      </c>
      <c r="O303" s="4" t="s">
        <v>364</v>
      </c>
      <c r="W303" s="3" t="s">
        <v>365</v>
      </c>
      <c r="Y303" s="8" t="s">
        <v>31</v>
      </c>
    </row>
    <row r="304" spans="1:26" ht="30" x14ac:dyDescent="0.25">
      <c r="A304" s="10">
        <v>275</v>
      </c>
      <c r="B304" s="3" t="s">
        <v>287</v>
      </c>
      <c r="C304" s="3" t="s">
        <v>385</v>
      </c>
      <c r="D304" s="3" t="s">
        <v>381</v>
      </c>
      <c r="E304" s="3" t="s">
        <v>28</v>
      </c>
      <c r="I304" s="11">
        <v>0.9</v>
      </c>
      <c r="M304" s="11"/>
      <c r="N304" s="5">
        <f>SUM(I304:M304)</f>
        <v>0.9</v>
      </c>
      <c r="W304" s="3" t="s">
        <v>209</v>
      </c>
      <c r="Y304" s="8" t="s">
        <v>210</v>
      </c>
    </row>
    <row r="305" spans="1:26" ht="60" x14ac:dyDescent="0.25">
      <c r="A305" s="10">
        <v>276</v>
      </c>
      <c r="B305" s="3" t="s">
        <v>287</v>
      </c>
      <c r="C305" s="3" t="s">
        <v>386</v>
      </c>
      <c r="D305" s="3" t="s">
        <v>387</v>
      </c>
      <c r="E305" s="3" t="s">
        <v>216</v>
      </c>
      <c r="N305" s="5">
        <f>AVERAGE(17.65, 15.3, 14.67, 14.18)*0.5*100</f>
        <v>772.5</v>
      </c>
      <c r="O305" s="4" t="s">
        <v>290</v>
      </c>
      <c r="U305" s="6">
        <f>AVERAGE(19.1, 19.9, 16, 16.1)/100</f>
        <v>0.17774999999999999</v>
      </c>
      <c r="W305" s="3" t="s">
        <v>295</v>
      </c>
      <c r="Y305" s="8" t="s">
        <v>292</v>
      </c>
    </row>
    <row r="306" spans="1:26" ht="45" x14ac:dyDescent="0.25">
      <c r="A306" s="10">
        <v>277</v>
      </c>
      <c r="B306" s="3" t="s">
        <v>287</v>
      </c>
      <c r="C306" s="3" t="s">
        <v>388</v>
      </c>
      <c r="D306" s="3" t="s">
        <v>389</v>
      </c>
      <c r="E306" s="3" t="s">
        <v>216</v>
      </c>
      <c r="N306" s="5">
        <f>AVERAGE(14.67, 10.31, 11.66, 10.95)*0.5*100</f>
        <v>594.875</v>
      </c>
      <c r="O306" s="4" t="s">
        <v>290</v>
      </c>
      <c r="U306" s="6">
        <f>AVERAGE(30.3, 35.3, 20.3, 20.7)/100</f>
        <v>0.26649999999999996</v>
      </c>
      <c r="W306" s="3" t="s">
        <v>295</v>
      </c>
      <c r="Y306" s="8" t="s">
        <v>292</v>
      </c>
    </row>
    <row r="307" spans="1:26" ht="135" x14ac:dyDescent="0.25">
      <c r="A307" s="10">
        <v>278</v>
      </c>
      <c r="B307" s="3" t="s">
        <v>287</v>
      </c>
      <c r="C307" s="3" t="s">
        <v>390</v>
      </c>
      <c r="E307" s="3" t="s">
        <v>391</v>
      </c>
      <c r="U307" s="6">
        <v>0.54900000000000004</v>
      </c>
      <c r="V307" s="3" t="s">
        <v>75</v>
      </c>
      <c r="W307" s="3" t="s">
        <v>392</v>
      </c>
      <c r="X307" s="3" t="s">
        <v>393</v>
      </c>
      <c r="Y307" s="8" t="s">
        <v>611</v>
      </c>
    </row>
    <row r="308" spans="1:26" ht="135" x14ac:dyDescent="0.25">
      <c r="A308" s="10">
        <v>279</v>
      </c>
      <c r="B308" s="3" t="s">
        <v>287</v>
      </c>
      <c r="C308" s="3" t="s">
        <v>390</v>
      </c>
      <c r="E308" s="3" t="s">
        <v>391</v>
      </c>
      <c r="U308" s="6">
        <v>0.16500000000000001</v>
      </c>
      <c r="V308" s="3" t="s">
        <v>77</v>
      </c>
      <c r="W308" s="3" t="s">
        <v>392</v>
      </c>
      <c r="X308" s="3" t="s">
        <v>393</v>
      </c>
      <c r="Y308" s="8" t="s">
        <v>611</v>
      </c>
    </row>
    <row r="309" spans="1:26" ht="135" x14ac:dyDescent="0.25">
      <c r="A309" s="10">
        <v>280</v>
      </c>
      <c r="B309" s="3" t="s">
        <v>287</v>
      </c>
      <c r="C309" s="3" t="s">
        <v>390</v>
      </c>
      <c r="E309" s="3" t="s">
        <v>391</v>
      </c>
      <c r="U309" s="6">
        <v>0.96499999999999997</v>
      </c>
      <c r="V309" s="3" t="s">
        <v>78</v>
      </c>
      <c r="W309" s="3" t="s">
        <v>392</v>
      </c>
      <c r="X309" s="3" t="s">
        <v>393</v>
      </c>
      <c r="Y309" s="8" t="s">
        <v>611</v>
      </c>
    </row>
    <row r="310" spans="1:26" ht="120" x14ac:dyDescent="0.25">
      <c r="A310" s="10">
        <v>281</v>
      </c>
      <c r="B310" s="3" t="s">
        <v>287</v>
      </c>
      <c r="C310" s="3" t="s">
        <v>390</v>
      </c>
      <c r="E310" s="3" t="s">
        <v>391</v>
      </c>
      <c r="U310" s="6">
        <f>29.7/100</f>
        <v>0.29699999999999999</v>
      </c>
      <c r="V310" s="3" t="s">
        <v>306</v>
      </c>
      <c r="W310" s="2" t="s">
        <v>394</v>
      </c>
      <c r="X310" s="3" t="s">
        <v>700</v>
      </c>
      <c r="Y310" s="29" t="s">
        <v>701</v>
      </c>
    </row>
    <row r="311" spans="1:26" x14ac:dyDescent="0.25">
      <c r="A311" s="10">
        <v>282</v>
      </c>
      <c r="B311" s="3" t="s">
        <v>287</v>
      </c>
      <c r="C311" s="3" t="s">
        <v>301</v>
      </c>
      <c r="E311" s="3" t="s">
        <v>22</v>
      </c>
      <c r="M311" s="4">
        <v>74</v>
      </c>
      <c r="N311" s="5">
        <f>SUM(Table3[[#This Row],[Biomass Above Ground]:[ Soil carbon]])</f>
        <v>74</v>
      </c>
      <c r="O311" s="4" t="s">
        <v>23</v>
      </c>
      <c r="W311" s="3" t="s">
        <v>92</v>
      </c>
      <c r="X311" s="3" t="s">
        <v>25</v>
      </c>
      <c r="Y311" s="8" t="s">
        <v>26</v>
      </c>
    </row>
    <row r="312" spans="1:26" x14ac:dyDescent="0.25">
      <c r="A312" s="10">
        <v>283</v>
      </c>
      <c r="B312" s="3" t="s">
        <v>287</v>
      </c>
      <c r="C312" s="3" t="s">
        <v>301</v>
      </c>
      <c r="E312" s="3" t="s">
        <v>22</v>
      </c>
      <c r="M312" s="4">
        <v>259</v>
      </c>
      <c r="N312" s="5">
        <f>SUM(Table3[[#This Row],[Biomass Above Ground]:[ Soil carbon]])</f>
        <v>259</v>
      </c>
      <c r="O312" s="4" t="s">
        <v>395</v>
      </c>
      <c r="W312" s="3" t="s">
        <v>92</v>
      </c>
      <c r="X312" s="3" t="s">
        <v>25</v>
      </c>
      <c r="Y312" s="8" t="s">
        <v>26</v>
      </c>
    </row>
    <row r="313" spans="1:26" x14ac:dyDescent="0.25">
      <c r="A313" s="10">
        <v>284</v>
      </c>
      <c r="B313" s="3" t="s">
        <v>287</v>
      </c>
      <c r="C313" s="3" t="s">
        <v>301</v>
      </c>
      <c r="D313" s="3" t="s">
        <v>21</v>
      </c>
      <c r="E313" s="3" t="s">
        <v>22</v>
      </c>
      <c r="I313" s="4">
        <v>2</v>
      </c>
      <c r="M313" s="4">
        <v>74</v>
      </c>
      <c r="N313" s="5">
        <f>SUM(Table3[[#This Row],[Biomass Above Ground]:[ Soil carbon]])</f>
        <v>76</v>
      </c>
      <c r="O313" s="4" t="s">
        <v>23</v>
      </c>
      <c r="W313" s="3" t="s">
        <v>24</v>
      </c>
      <c r="X313" s="3" t="s">
        <v>25</v>
      </c>
      <c r="Y313" s="8" t="s">
        <v>26</v>
      </c>
    </row>
    <row r="314" spans="1:26" x14ac:dyDescent="0.25">
      <c r="A314" s="10">
        <v>285</v>
      </c>
      <c r="B314" s="3" t="s">
        <v>287</v>
      </c>
      <c r="C314" s="3" t="s">
        <v>396</v>
      </c>
      <c r="E314" s="3" t="s">
        <v>37</v>
      </c>
      <c r="U314" s="6">
        <v>0.1</v>
      </c>
      <c r="W314" s="3" t="s">
        <v>298</v>
      </c>
      <c r="X314" s="3" t="s">
        <v>25</v>
      </c>
      <c r="Y314" s="8" t="s">
        <v>26</v>
      </c>
    </row>
    <row r="315" spans="1:26" x14ac:dyDescent="0.25">
      <c r="A315" s="10">
        <v>286</v>
      </c>
      <c r="B315" s="3" t="s">
        <v>287</v>
      </c>
      <c r="C315" s="3" t="s">
        <v>396</v>
      </c>
      <c r="E315" s="3" t="s">
        <v>37</v>
      </c>
      <c r="U315" s="6">
        <v>0.46</v>
      </c>
      <c r="W315" s="3" t="s">
        <v>298</v>
      </c>
      <c r="X315" s="3" t="s">
        <v>25</v>
      </c>
      <c r="Y315" s="8" t="s">
        <v>26</v>
      </c>
    </row>
    <row r="316" spans="1:26" ht="105" x14ac:dyDescent="0.25">
      <c r="A316" s="10">
        <v>287</v>
      </c>
      <c r="B316" s="3" t="s">
        <v>287</v>
      </c>
      <c r="C316" s="3" t="s">
        <v>397</v>
      </c>
      <c r="E316" s="3" t="s">
        <v>398</v>
      </c>
      <c r="I316" s="11"/>
      <c r="U316" s="6">
        <v>0.2</v>
      </c>
      <c r="V316" s="3" t="s">
        <v>75</v>
      </c>
      <c r="W316" s="3" t="s">
        <v>399</v>
      </c>
      <c r="X316" s="3" t="s">
        <v>400</v>
      </c>
      <c r="Y316" s="3" t="s">
        <v>401</v>
      </c>
    </row>
    <row r="317" spans="1:26" ht="105" x14ac:dyDescent="0.25">
      <c r="A317" s="10">
        <v>288</v>
      </c>
      <c r="B317" s="3" t="s">
        <v>287</v>
      </c>
      <c r="C317" s="3" t="s">
        <v>397</v>
      </c>
      <c r="E317" s="3" t="s">
        <v>398</v>
      </c>
      <c r="I317" s="11"/>
      <c r="U317" s="6">
        <v>0.02</v>
      </c>
      <c r="V317" s="3" t="s">
        <v>77</v>
      </c>
      <c r="W317" s="3" t="s">
        <v>399</v>
      </c>
      <c r="X317" s="3" t="s">
        <v>400</v>
      </c>
      <c r="Y317" s="3" t="s">
        <v>401</v>
      </c>
    </row>
    <row r="318" spans="1:26" ht="105" x14ac:dyDescent="0.25">
      <c r="A318" s="10">
        <v>289</v>
      </c>
      <c r="B318" s="3" t="s">
        <v>287</v>
      </c>
      <c r="C318" s="3" t="s">
        <v>402</v>
      </c>
      <c r="E318" s="3" t="s">
        <v>398</v>
      </c>
      <c r="I318" s="11"/>
      <c r="U318" s="6">
        <v>0.34</v>
      </c>
      <c r="V318" s="3" t="s">
        <v>78</v>
      </c>
      <c r="W318" s="3" t="s">
        <v>399</v>
      </c>
      <c r="X318" s="3" t="s">
        <v>400</v>
      </c>
      <c r="Y318" s="8" t="s">
        <v>403</v>
      </c>
    </row>
    <row r="319" spans="1:26" ht="30" x14ac:dyDescent="0.25">
      <c r="A319" s="10">
        <v>290</v>
      </c>
      <c r="B319" s="3" t="s">
        <v>287</v>
      </c>
      <c r="C319" s="3" t="s">
        <v>404</v>
      </c>
      <c r="E319" s="3" t="s">
        <v>405</v>
      </c>
      <c r="G319" s="3">
        <v>338</v>
      </c>
      <c r="H319" s="3">
        <f>4525/100</f>
        <v>45.25</v>
      </c>
      <c r="I319" s="4">
        <f>G319*0.4241/100</f>
        <v>1.4334579999999999</v>
      </c>
      <c r="J319" s="3">
        <f>H319*0.4241</f>
        <v>19.190524999999997</v>
      </c>
      <c r="N319" s="5">
        <f>SUM(I319:M319)</f>
        <v>20.623982999999996</v>
      </c>
      <c r="W319" s="3" t="s">
        <v>406</v>
      </c>
      <c r="Y319" s="9" t="s">
        <v>407</v>
      </c>
    </row>
    <row r="320" spans="1:26" ht="30" x14ac:dyDescent="0.25">
      <c r="A320" s="10">
        <v>291</v>
      </c>
      <c r="B320" s="3" t="s">
        <v>287</v>
      </c>
      <c r="C320" s="3" t="s">
        <v>404</v>
      </c>
      <c r="E320" s="3" t="s">
        <v>408</v>
      </c>
      <c r="G320" s="3">
        <v>308</v>
      </c>
      <c r="H320" s="3">
        <f>5468/100</f>
        <v>54.68</v>
      </c>
      <c r="I320" s="4">
        <f>G320*0.4241/100</f>
        <v>1.3062279999999999</v>
      </c>
      <c r="J320" s="3">
        <f>H320*0.4241</f>
        <v>23.189788</v>
      </c>
      <c r="N320" s="5">
        <f>SUM(I320:M320)</f>
        <v>24.496016000000001</v>
      </c>
      <c r="W320" s="3" t="s">
        <v>409</v>
      </c>
      <c r="Y320" s="9" t="s">
        <v>407</v>
      </c>
      <c r="Z320" s="8" t="s">
        <v>410</v>
      </c>
    </row>
    <row r="321" spans="1:25" ht="30" x14ac:dyDescent="0.25">
      <c r="A321" s="10">
        <v>292</v>
      </c>
      <c r="B321" s="3" t="s">
        <v>287</v>
      </c>
      <c r="C321" s="3" t="s">
        <v>404</v>
      </c>
      <c r="E321" s="3" t="s">
        <v>411</v>
      </c>
      <c r="G321" s="3">
        <v>4164</v>
      </c>
      <c r="H321" s="3">
        <f>11178/100</f>
        <v>111.78</v>
      </c>
      <c r="I321" s="4">
        <f>G321*0.4241/100</f>
        <v>17.659523999999998</v>
      </c>
      <c r="J321" s="3">
        <f>H321*0.4241</f>
        <v>47.405898000000001</v>
      </c>
      <c r="N321" s="5">
        <f>SUM(I321:M321)</f>
        <v>65.065421999999998</v>
      </c>
      <c r="W321" s="3" t="s">
        <v>406</v>
      </c>
      <c r="Y321" s="9" t="s">
        <v>407</v>
      </c>
    </row>
    <row r="322" spans="1:25" ht="30" x14ac:dyDescent="0.25">
      <c r="A322" s="10">
        <v>293</v>
      </c>
      <c r="B322" s="3" t="s">
        <v>287</v>
      </c>
      <c r="C322" s="3" t="s">
        <v>404</v>
      </c>
      <c r="E322" s="3" t="s">
        <v>412</v>
      </c>
      <c r="G322" s="3">
        <v>2590</v>
      </c>
      <c r="H322" s="3">
        <f>4090/100</f>
        <v>40.9</v>
      </c>
      <c r="I322" s="4">
        <f>G322*0.4241/100</f>
        <v>10.984189999999998</v>
      </c>
      <c r="J322" s="3">
        <f>H322*0.4241</f>
        <v>17.345689999999998</v>
      </c>
      <c r="N322" s="5">
        <f>SUM(I322:M322)</f>
        <v>28.329879999999996</v>
      </c>
      <c r="W322" s="3" t="s">
        <v>406</v>
      </c>
      <c r="Y322" s="9" t="s">
        <v>407</v>
      </c>
    </row>
    <row r="323" spans="1:25" ht="30" x14ac:dyDescent="0.25">
      <c r="A323" s="10">
        <v>294</v>
      </c>
      <c r="B323" s="3" t="s">
        <v>287</v>
      </c>
      <c r="C323" s="3" t="s">
        <v>404</v>
      </c>
      <c r="E323" s="3" t="s">
        <v>413</v>
      </c>
      <c r="T323" s="3">
        <v>5.04</v>
      </c>
      <c r="U323" s="6">
        <f>SUM(P323:T323)</f>
        <v>5.04</v>
      </c>
      <c r="W323" s="3" t="s">
        <v>414</v>
      </c>
      <c r="Y323" s="9" t="s">
        <v>407</v>
      </c>
    </row>
    <row r="324" spans="1:25" ht="60" x14ac:dyDescent="0.25">
      <c r="A324" s="10">
        <v>295</v>
      </c>
      <c r="B324" s="3" t="s">
        <v>287</v>
      </c>
      <c r="C324" s="3" t="s">
        <v>404</v>
      </c>
      <c r="D324" s="3" t="s">
        <v>415</v>
      </c>
      <c r="E324" s="3" t="s">
        <v>416</v>
      </c>
      <c r="O324" s="3" t="s">
        <v>417</v>
      </c>
      <c r="T324" s="3">
        <v>0.15</v>
      </c>
      <c r="U324" s="6">
        <f>SUM(P324:T324)</f>
        <v>0.15</v>
      </c>
      <c r="W324" s="3" t="s">
        <v>418</v>
      </c>
      <c r="X324" s="9"/>
      <c r="Y324" s="9" t="s">
        <v>419</v>
      </c>
    </row>
    <row r="325" spans="1:25" ht="60" x14ac:dyDescent="0.25">
      <c r="A325" s="10">
        <v>296</v>
      </c>
      <c r="B325" s="3" t="s">
        <v>287</v>
      </c>
      <c r="C325" s="3" t="s">
        <v>404</v>
      </c>
      <c r="D325" s="3" t="s">
        <v>415</v>
      </c>
      <c r="E325" s="3" t="s">
        <v>416</v>
      </c>
      <c r="O325" s="3" t="s">
        <v>417</v>
      </c>
      <c r="T325" s="3">
        <v>0.22</v>
      </c>
      <c r="U325" s="6">
        <f>SUM(P325:T325)</f>
        <v>0.22</v>
      </c>
      <c r="W325" s="3" t="s">
        <v>418</v>
      </c>
      <c r="Y325" s="9" t="s">
        <v>419</v>
      </c>
    </row>
    <row r="326" spans="1:25" x14ac:dyDescent="0.25">
      <c r="A326" s="10">
        <v>297</v>
      </c>
      <c r="B326" s="3" t="s">
        <v>287</v>
      </c>
      <c r="C326" s="3" t="s">
        <v>404</v>
      </c>
      <c r="E326" s="3" t="s">
        <v>420</v>
      </c>
      <c r="G326" s="3">
        <v>1950</v>
      </c>
      <c r="H326" s="3">
        <f>2803/100</f>
        <v>28.03</v>
      </c>
      <c r="I326" s="4">
        <f>G326*0.4241/100</f>
        <v>8.2699499999999997</v>
      </c>
      <c r="J326" s="3">
        <f>H326*0.4241</f>
        <v>11.887523</v>
      </c>
      <c r="N326" s="5">
        <f t="shared" ref="N326:N336" si="8">SUM(I326:M326)</f>
        <v>20.157473</v>
      </c>
      <c r="W326" s="3" t="s">
        <v>406</v>
      </c>
      <c r="Y326" s="9" t="s">
        <v>407</v>
      </c>
    </row>
    <row r="327" spans="1:25" ht="30" x14ac:dyDescent="0.25">
      <c r="A327" s="10">
        <v>298</v>
      </c>
      <c r="B327" s="3" t="s">
        <v>287</v>
      </c>
      <c r="C327" s="3" t="s">
        <v>404</v>
      </c>
      <c r="E327" s="3" t="s">
        <v>421</v>
      </c>
      <c r="G327" s="3">
        <v>827</v>
      </c>
      <c r="H327" s="3">
        <f>3401/100</f>
        <v>34.01</v>
      </c>
      <c r="I327" s="4">
        <f>G327*0.4241/100</f>
        <v>3.5073069999999995</v>
      </c>
      <c r="J327" s="3">
        <f>H327*0.4241</f>
        <v>14.423640999999998</v>
      </c>
      <c r="N327" s="5">
        <f t="shared" si="8"/>
        <v>17.930947999999997</v>
      </c>
      <c r="W327" s="3" t="s">
        <v>406</v>
      </c>
      <c r="Y327" s="9" t="s">
        <v>407</v>
      </c>
    </row>
    <row r="328" spans="1:25" ht="30" x14ac:dyDescent="0.25">
      <c r="A328" s="10">
        <v>299</v>
      </c>
      <c r="B328" s="3" t="s">
        <v>287</v>
      </c>
      <c r="C328" s="3" t="s">
        <v>404</v>
      </c>
      <c r="E328" s="3" t="s">
        <v>422</v>
      </c>
      <c r="G328" s="3">
        <v>1305</v>
      </c>
      <c r="H328" s="3">
        <f>3577/100</f>
        <v>35.770000000000003</v>
      </c>
      <c r="I328" s="4">
        <f>G328*0.4241/100</f>
        <v>5.5345049999999993</v>
      </c>
      <c r="J328" s="3">
        <f>H328*0.4241</f>
        <v>15.170057</v>
      </c>
      <c r="N328" s="5">
        <f t="shared" si="8"/>
        <v>20.704561999999999</v>
      </c>
      <c r="W328" s="3" t="s">
        <v>406</v>
      </c>
      <c r="Y328" s="9" t="s">
        <v>407</v>
      </c>
    </row>
    <row r="329" spans="1:25" ht="30" x14ac:dyDescent="0.25">
      <c r="A329" s="10">
        <v>300</v>
      </c>
      <c r="B329" s="3" t="s">
        <v>287</v>
      </c>
      <c r="C329" s="3" t="s">
        <v>404</v>
      </c>
      <c r="E329" s="3" t="s">
        <v>423</v>
      </c>
      <c r="G329" s="3">
        <v>562</v>
      </c>
      <c r="H329" s="3">
        <f>6222/100</f>
        <v>62.22</v>
      </c>
      <c r="I329" s="4">
        <f>G329*0.4241/100</f>
        <v>2.3834420000000001</v>
      </c>
      <c r="J329" s="3">
        <f>H329*0.4241</f>
        <v>26.387501999999998</v>
      </c>
      <c r="N329" s="5">
        <f t="shared" si="8"/>
        <v>28.770943999999997</v>
      </c>
      <c r="W329" s="3" t="s">
        <v>406</v>
      </c>
      <c r="Y329" s="9" t="s">
        <v>407</v>
      </c>
    </row>
    <row r="330" spans="1:25" x14ac:dyDescent="0.25">
      <c r="A330" s="10">
        <v>301</v>
      </c>
      <c r="B330" s="3" t="s">
        <v>287</v>
      </c>
      <c r="C330" s="3" t="s">
        <v>404</v>
      </c>
      <c r="D330" s="3" t="s">
        <v>424</v>
      </c>
      <c r="E330" s="3" t="s">
        <v>28</v>
      </c>
      <c r="I330" s="11">
        <v>5</v>
      </c>
      <c r="M330" s="11"/>
      <c r="N330" s="5">
        <f t="shared" si="8"/>
        <v>5</v>
      </c>
      <c r="W330" s="3" t="s">
        <v>209</v>
      </c>
      <c r="Y330" s="8" t="s">
        <v>210</v>
      </c>
    </row>
    <row r="331" spans="1:25" ht="45" x14ac:dyDescent="0.25">
      <c r="A331" s="10">
        <v>302</v>
      </c>
      <c r="B331" s="3" t="s">
        <v>287</v>
      </c>
      <c r="C331" s="3" t="s">
        <v>404</v>
      </c>
      <c r="D331" s="3" t="s">
        <v>425</v>
      </c>
      <c r="E331" s="3" t="s">
        <v>28</v>
      </c>
      <c r="I331" s="11">
        <v>7.5</v>
      </c>
      <c r="M331" s="11"/>
      <c r="N331" s="5">
        <f t="shared" si="8"/>
        <v>7.5</v>
      </c>
      <c r="W331" s="3" t="s">
        <v>426</v>
      </c>
      <c r="Y331" s="8" t="s">
        <v>31</v>
      </c>
    </row>
    <row r="332" spans="1:25" ht="45" x14ac:dyDescent="0.25">
      <c r="A332" s="10">
        <v>303</v>
      </c>
      <c r="B332" s="3" t="s">
        <v>287</v>
      </c>
      <c r="C332" s="3" t="s">
        <v>404</v>
      </c>
      <c r="D332" s="3" t="s">
        <v>424</v>
      </c>
      <c r="I332" s="11"/>
      <c r="M332" s="11">
        <v>150</v>
      </c>
      <c r="N332" s="5">
        <f t="shared" si="8"/>
        <v>150</v>
      </c>
      <c r="O332" s="4" t="s">
        <v>364</v>
      </c>
      <c r="W332" s="3" t="s">
        <v>365</v>
      </c>
      <c r="Y332" s="8" t="s">
        <v>31</v>
      </c>
    </row>
    <row r="333" spans="1:25" ht="45" x14ac:dyDescent="0.25">
      <c r="A333" s="10">
        <v>304</v>
      </c>
      <c r="B333" s="3" t="s">
        <v>287</v>
      </c>
      <c r="C333" s="3" t="s">
        <v>404</v>
      </c>
      <c r="D333" s="3" t="s">
        <v>424</v>
      </c>
      <c r="I333" s="11"/>
      <c r="M333" s="11">
        <v>250</v>
      </c>
      <c r="N333" s="5">
        <f t="shared" si="8"/>
        <v>250</v>
      </c>
      <c r="O333" s="4" t="s">
        <v>364</v>
      </c>
      <c r="W333" s="3" t="s">
        <v>365</v>
      </c>
      <c r="Y333" s="8" t="s">
        <v>31</v>
      </c>
    </row>
    <row r="334" spans="1:25" x14ac:dyDescent="0.25">
      <c r="A334" s="10">
        <v>305</v>
      </c>
      <c r="B334" s="3" t="s">
        <v>287</v>
      </c>
      <c r="C334" s="3" t="s">
        <v>404</v>
      </c>
      <c r="D334" s="3" t="s">
        <v>424</v>
      </c>
      <c r="E334" s="3" t="s">
        <v>28</v>
      </c>
      <c r="F334" s="3" t="s">
        <v>427</v>
      </c>
      <c r="I334" s="11"/>
      <c r="M334" s="11">
        <v>330</v>
      </c>
      <c r="N334" s="5">
        <f t="shared" si="8"/>
        <v>330</v>
      </c>
      <c r="O334" s="4" t="s">
        <v>428</v>
      </c>
      <c r="W334" s="3" t="s">
        <v>429</v>
      </c>
      <c r="Y334" s="8" t="s">
        <v>210</v>
      </c>
    </row>
    <row r="335" spans="1:25" x14ac:dyDescent="0.25">
      <c r="A335" s="10">
        <v>306</v>
      </c>
      <c r="B335" s="3" t="s">
        <v>287</v>
      </c>
      <c r="C335" s="3" t="s">
        <v>430</v>
      </c>
      <c r="D335" s="3" t="s">
        <v>424</v>
      </c>
      <c r="E335" s="3" t="s">
        <v>28</v>
      </c>
      <c r="I335" s="11">
        <v>2</v>
      </c>
      <c r="M335" s="11"/>
      <c r="N335" s="5">
        <f t="shared" si="8"/>
        <v>2</v>
      </c>
      <c r="W335" s="3" t="s">
        <v>426</v>
      </c>
      <c r="Y335" s="8" t="s">
        <v>31</v>
      </c>
    </row>
    <row r="336" spans="1:25" x14ac:dyDescent="0.25">
      <c r="A336" s="10">
        <v>307</v>
      </c>
      <c r="B336" s="3" t="s">
        <v>287</v>
      </c>
      <c r="C336" s="3" t="s">
        <v>431</v>
      </c>
      <c r="D336" s="3" t="s">
        <v>432</v>
      </c>
      <c r="E336" s="3" t="s">
        <v>269</v>
      </c>
      <c r="F336" s="3" t="s">
        <v>41</v>
      </c>
      <c r="I336" s="4">
        <v>5</v>
      </c>
      <c r="J336" s="3">
        <v>7.5</v>
      </c>
      <c r="M336" s="4">
        <v>20</v>
      </c>
      <c r="N336" s="5">
        <f t="shared" si="8"/>
        <v>32.5</v>
      </c>
      <c r="W336" s="3" t="s">
        <v>30</v>
      </c>
      <c r="Y336" s="29" t="s">
        <v>31</v>
      </c>
    </row>
    <row r="337" spans="1:25" x14ac:dyDescent="0.25">
      <c r="A337" s="10">
        <v>308</v>
      </c>
      <c r="B337" s="3" t="s">
        <v>287</v>
      </c>
      <c r="C337" s="3" t="s">
        <v>433</v>
      </c>
      <c r="D337" s="3" t="s">
        <v>434</v>
      </c>
      <c r="E337" s="3" t="s">
        <v>37</v>
      </c>
      <c r="U337" s="6">
        <v>1.6</v>
      </c>
      <c r="W337" s="3" t="s">
        <v>298</v>
      </c>
      <c r="X337" s="3" t="s">
        <v>25</v>
      </c>
      <c r="Y337" s="8" t="s">
        <v>26</v>
      </c>
    </row>
    <row r="338" spans="1:25" x14ac:dyDescent="0.25">
      <c r="A338" s="10">
        <v>309</v>
      </c>
      <c r="B338" s="3" t="s">
        <v>287</v>
      </c>
      <c r="C338" s="3" t="s">
        <v>433</v>
      </c>
      <c r="D338" s="3" t="s">
        <v>434</v>
      </c>
      <c r="E338" s="3" t="s">
        <v>37</v>
      </c>
      <c r="U338" s="6">
        <v>2.2000000000000002</v>
      </c>
      <c r="W338" s="3" t="s">
        <v>298</v>
      </c>
      <c r="X338" s="3" t="s">
        <v>25</v>
      </c>
      <c r="Y338" s="8" t="s">
        <v>26</v>
      </c>
    </row>
    <row r="339" spans="1:25" x14ac:dyDescent="0.25">
      <c r="A339" s="10">
        <v>310</v>
      </c>
      <c r="B339" s="3" t="s">
        <v>287</v>
      </c>
      <c r="C339" s="3" t="s">
        <v>435</v>
      </c>
      <c r="E339" s="3" t="s">
        <v>37</v>
      </c>
      <c r="T339" s="3">
        <v>1.51</v>
      </c>
      <c r="U339" s="6">
        <f>SUM(P339:T339)</f>
        <v>1.51</v>
      </c>
      <c r="W339" s="3" t="s">
        <v>436</v>
      </c>
      <c r="X339" s="8"/>
      <c r="Y339" s="8" t="s">
        <v>340</v>
      </c>
    </row>
    <row r="340" spans="1:25" x14ac:dyDescent="0.25">
      <c r="A340" s="10">
        <v>311</v>
      </c>
      <c r="B340" s="3" t="s">
        <v>287</v>
      </c>
      <c r="C340" s="3" t="s">
        <v>435</v>
      </c>
      <c r="E340" s="3" t="s">
        <v>37</v>
      </c>
      <c r="I340" s="4">
        <v>3.3</v>
      </c>
      <c r="M340" s="4">
        <v>390</v>
      </c>
      <c r="N340" s="5">
        <f>SUM(I340:M340)</f>
        <v>393.3</v>
      </c>
      <c r="O340" s="4">
        <f>AVERAGE(N340:N369)</f>
        <v>311.56666666666666</v>
      </c>
      <c r="W340" s="3" t="s">
        <v>437</v>
      </c>
      <c r="Y340" s="9" t="s">
        <v>342</v>
      </c>
    </row>
    <row r="341" spans="1:25" x14ac:dyDescent="0.25">
      <c r="A341" s="10">
        <v>312</v>
      </c>
      <c r="B341" s="3" t="s">
        <v>287</v>
      </c>
      <c r="C341" s="3" t="s">
        <v>435</v>
      </c>
      <c r="E341" s="3" t="s">
        <v>269</v>
      </c>
      <c r="F341" s="3" t="s">
        <v>41</v>
      </c>
      <c r="I341" s="4">
        <v>15</v>
      </c>
      <c r="J341" s="3">
        <v>22.5</v>
      </c>
      <c r="M341" s="4">
        <v>33</v>
      </c>
      <c r="N341" s="5">
        <f>SUM(I341:M341)</f>
        <v>70.5</v>
      </c>
      <c r="W341" s="3" t="s">
        <v>30</v>
      </c>
      <c r="Y341" s="29" t="s">
        <v>31</v>
      </c>
    </row>
    <row r="342" spans="1:25" x14ac:dyDescent="0.25">
      <c r="A342" s="10">
        <v>313</v>
      </c>
      <c r="B342" s="3" t="s">
        <v>287</v>
      </c>
      <c r="C342" s="3" t="s">
        <v>435</v>
      </c>
      <c r="E342" s="3" t="s">
        <v>28</v>
      </c>
      <c r="I342" s="11">
        <v>12</v>
      </c>
      <c r="M342" s="4">
        <v>26</v>
      </c>
      <c r="N342" s="5">
        <f>SUM(I342:M342)</f>
        <v>38</v>
      </c>
      <c r="W342" s="3" t="s">
        <v>438</v>
      </c>
      <c r="Y342" s="8" t="s">
        <v>31</v>
      </c>
    </row>
    <row r="343" spans="1:25" x14ac:dyDescent="0.25">
      <c r="A343" s="10">
        <v>314</v>
      </c>
      <c r="B343" s="3" t="s">
        <v>287</v>
      </c>
      <c r="C343" s="3" t="s">
        <v>435</v>
      </c>
      <c r="E343" s="3" t="s">
        <v>28</v>
      </c>
      <c r="I343" s="11">
        <v>12</v>
      </c>
      <c r="M343" s="4">
        <v>40</v>
      </c>
      <c r="N343" s="5">
        <f>SUM(I343:M343)</f>
        <v>52</v>
      </c>
      <c r="W343" s="3" t="s">
        <v>438</v>
      </c>
      <c r="Y343" s="8" t="s">
        <v>31</v>
      </c>
    </row>
    <row r="344" spans="1:25" ht="30" x14ac:dyDescent="0.25">
      <c r="A344" s="10">
        <v>329</v>
      </c>
      <c r="B344" s="3" t="s">
        <v>287</v>
      </c>
      <c r="C344" s="3" t="s">
        <v>435</v>
      </c>
      <c r="E344" s="3" t="s">
        <v>443</v>
      </c>
      <c r="N344" s="5">
        <v>390</v>
      </c>
      <c r="U344" s="6">
        <v>2.1800000000000002</v>
      </c>
      <c r="V344" s="4">
        <f>AVERAGE(U344:U364)</f>
        <v>2.4229665071770334</v>
      </c>
      <c r="W344" s="3" t="s">
        <v>458</v>
      </c>
      <c r="Y344" s="8" t="s">
        <v>459</v>
      </c>
    </row>
    <row r="345" spans="1:25" x14ac:dyDescent="0.25">
      <c r="A345" s="10">
        <v>330</v>
      </c>
      <c r="B345" s="3" t="s">
        <v>287</v>
      </c>
      <c r="C345" s="3" t="s">
        <v>435</v>
      </c>
      <c r="E345" s="3" t="s">
        <v>460</v>
      </c>
      <c r="N345" s="5">
        <v>410</v>
      </c>
      <c r="U345" s="6">
        <v>2.77</v>
      </c>
      <c r="W345" s="3" t="s">
        <v>461</v>
      </c>
      <c r="Y345" s="8" t="s">
        <v>459</v>
      </c>
    </row>
    <row r="346" spans="1:25" x14ac:dyDescent="0.25">
      <c r="A346" s="10">
        <v>331</v>
      </c>
      <c r="B346" s="3" t="s">
        <v>287</v>
      </c>
      <c r="C346" s="3" t="s">
        <v>435</v>
      </c>
      <c r="E346" s="3" t="s">
        <v>460</v>
      </c>
      <c r="N346" s="5">
        <v>410</v>
      </c>
      <c r="U346" s="6">
        <v>1.39</v>
      </c>
      <c r="W346" s="3" t="s">
        <v>461</v>
      </c>
      <c r="Y346" s="8" t="s">
        <v>459</v>
      </c>
    </row>
    <row r="347" spans="1:25" x14ac:dyDescent="0.25">
      <c r="A347" s="10">
        <v>332</v>
      </c>
      <c r="B347" s="3" t="s">
        <v>287</v>
      </c>
      <c r="C347" s="3" t="s">
        <v>435</v>
      </c>
      <c r="E347" s="3" t="s">
        <v>462</v>
      </c>
      <c r="N347" s="5">
        <v>290</v>
      </c>
      <c r="U347" s="6">
        <v>5.87</v>
      </c>
      <c r="W347" s="3" t="s">
        <v>461</v>
      </c>
      <c r="Y347" s="8" t="s">
        <v>459</v>
      </c>
    </row>
    <row r="348" spans="1:25" x14ac:dyDescent="0.25">
      <c r="A348" s="10">
        <v>333</v>
      </c>
      <c r="B348" s="3" t="s">
        <v>287</v>
      </c>
      <c r="C348" s="3" t="s">
        <v>435</v>
      </c>
      <c r="E348" s="3" t="s">
        <v>462</v>
      </c>
      <c r="N348" s="5">
        <v>200</v>
      </c>
      <c r="U348" s="6">
        <v>6.5</v>
      </c>
      <c r="W348" s="3" t="s">
        <v>461</v>
      </c>
      <c r="Y348" s="8" t="s">
        <v>459</v>
      </c>
    </row>
    <row r="349" spans="1:25" x14ac:dyDescent="0.25">
      <c r="A349" s="10">
        <v>334</v>
      </c>
      <c r="B349" s="3" t="s">
        <v>287</v>
      </c>
      <c r="C349" s="3" t="s">
        <v>435</v>
      </c>
      <c r="E349" s="3" t="s">
        <v>463</v>
      </c>
      <c r="N349" s="5">
        <v>410</v>
      </c>
      <c r="U349" s="6">
        <v>1.87</v>
      </c>
      <c r="W349" s="3" t="s">
        <v>461</v>
      </c>
      <c r="Y349" s="8" t="s">
        <v>459</v>
      </c>
    </row>
    <row r="350" spans="1:25" x14ac:dyDescent="0.25">
      <c r="A350" s="10">
        <v>335</v>
      </c>
      <c r="B350" s="3" t="s">
        <v>287</v>
      </c>
      <c r="C350" s="3" t="s">
        <v>435</v>
      </c>
      <c r="E350" s="3" t="s">
        <v>463</v>
      </c>
      <c r="N350" s="5">
        <v>410</v>
      </c>
      <c r="U350" s="6">
        <v>1.39</v>
      </c>
      <c r="W350" s="3" t="s">
        <v>461</v>
      </c>
      <c r="Y350" s="8" t="s">
        <v>459</v>
      </c>
    </row>
    <row r="351" spans="1:25" x14ac:dyDescent="0.25">
      <c r="A351" s="10">
        <v>336</v>
      </c>
      <c r="B351" s="3" t="s">
        <v>287</v>
      </c>
      <c r="C351" s="3" t="s">
        <v>435</v>
      </c>
      <c r="E351" s="3" t="s">
        <v>463</v>
      </c>
      <c r="N351" s="5">
        <v>410</v>
      </c>
      <c r="U351" s="6">
        <v>1.59</v>
      </c>
      <c r="V351" s="4">
        <f xml:space="preserve"> AVERAGE(U329,U344:U354,U357:U364)</f>
        <v>2.4229665071770334</v>
      </c>
      <c r="W351" s="3" t="s">
        <v>461</v>
      </c>
      <c r="Y351" s="8" t="s">
        <v>459</v>
      </c>
    </row>
    <row r="352" spans="1:25" x14ac:dyDescent="0.25">
      <c r="A352" s="10">
        <v>337</v>
      </c>
      <c r="B352" s="3" t="s">
        <v>287</v>
      </c>
      <c r="C352" s="3" t="s">
        <v>435</v>
      </c>
      <c r="E352" s="3" t="s">
        <v>463</v>
      </c>
      <c r="N352" s="5">
        <v>410</v>
      </c>
      <c r="U352" s="6">
        <v>1.1000000000000001</v>
      </c>
      <c r="W352" s="3" t="s">
        <v>461</v>
      </c>
      <c r="Y352" s="8" t="s">
        <v>459</v>
      </c>
    </row>
    <row r="353" spans="1:25" x14ac:dyDescent="0.25">
      <c r="A353" s="10">
        <v>338</v>
      </c>
      <c r="B353" s="3" t="s">
        <v>287</v>
      </c>
      <c r="C353" s="3" t="s">
        <v>435</v>
      </c>
      <c r="E353" s="3" t="s">
        <v>464</v>
      </c>
      <c r="N353" s="5">
        <v>270</v>
      </c>
      <c r="U353" s="6">
        <v>1.65</v>
      </c>
      <c r="W353" s="3" t="s">
        <v>461</v>
      </c>
      <c r="Y353" s="8" t="s">
        <v>459</v>
      </c>
    </row>
    <row r="354" spans="1:25" x14ac:dyDescent="0.25">
      <c r="A354" s="10">
        <v>339</v>
      </c>
      <c r="B354" s="3" t="s">
        <v>287</v>
      </c>
      <c r="C354" s="3" t="s">
        <v>435</v>
      </c>
      <c r="E354" s="3" t="s">
        <v>464</v>
      </c>
      <c r="N354" s="5">
        <v>270</v>
      </c>
      <c r="U354" s="6">
        <v>0.77</v>
      </c>
      <c r="W354" s="3" t="s">
        <v>461</v>
      </c>
      <c r="Y354" s="8" t="s">
        <v>459</v>
      </c>
    </row>
    <row r="355" spans="1:25" x14ac:dyDescent="0.25">
      <c r="A355" s="10">
        <v>340</v>
      </c>
      <c r="B355" s="3" t="s">
        <v>287</v>
      </c>
      <c r="C355" s="3" t="s">
        <v>435</v>
      </c>
      <c r="E355" s="3" t="s">
        <v>465</v>
      </c>
      <c r="N355" s="5">
        <v>210</v>
      </c>
      <c r="W355" s="3" t="s">
        <v>461</v>
      </c>
      <c r="Y355" s="8" t="s">
        <v>459</v>
      </c>
    </row>
    <row r="356" spans="1:25" x14ac:dyDescent="0.25">
      <c r="A356" s="10">
        <v>341</v>
      </c>
      <c r="B356" s="3" t="s">
        <v>287</v>
      </c>
      <c r="C356" s="3" t="s">
        <v>435</v>
      </c>
      <c r="E356" s="3" t="s">
        <v>465</v>
      </c>
      <c r="N356" s="5">
        <v>270</v>
      </c>
      <c r="W356" s="3" t="s">
        <v>461</v>
      </c>
      <c r="Y356" s="8" t="s">
        <v>459</v>
      </c>
    </row>
    <row r="357" spans="1:25" x14ac:dyDescent="0.25">
      <c r="A357" s="10">
        <v>342</v>
      </c>
      <c r="B357" s="3" t="s">
        <v>287</v>
      </c>
      <c r="C357" s="3" t="s">
        <v>435</v>
      </c>
      <c r="E357" s="3" t="s">
        <v>466</v>
      </c>
      <c r="N357" s="5">
        <v>730</v>
      </c>
      <c r="U357" s="6">
        <v>1.61</v>
      </c>
      <c r="W357" s="3" t="s">
        <v>461</v>
      </c>
      <c r="Y357" s="8" t="s">
        <v>459</v>
      </c>
    </row>
    <row r="358" spans="1:25" x14ac:dyDescent="0.25">
      <c r="A358" s="10">
        <v>343</v>
      </c>
      <c r="B358" s="3" t="s">
        <v>287</v>
      </c>
      <c r="C358" s="3" t="s">
        <v>435</v>
      </c>
      <c r="E358" s="3" t="s">
        <v>467</v>
      </c>
      <c r="N358" s="5">
        <v>331</v>
      </c>
      <c r="U358" s="6">
        <v>2.4900000000000002</v>
      </c>
      <c r="W358" s="3" t="s">
        <v>461</v>
      </c>
      <c r="Y358" s="8" t="s">
        <v>459</v>
      </c>
    </row>
    <row r="359" spans="1:25" ht="60" x14ac:dyDescent="0.25">
      <c r="A359" s="10">
        <v>344</v>
      </c>
      <c r="B359" s="3" t="s">
        <v>287</v>
      </c>
      <c r="C359" s="3" t="s">
        <v>435</v>
      </c>
      <c r="E359" s="3" t="s">
        <v>468</v>
      </c>
      <c r="N359" s="5">
        <f>938*12/44</f>
        <v>255.81818181818181</v>
      </c>
      <c r="O359" s="4">
        <f>AVERAGE(N330:N333,N344:N369)</f>
        <v>306.85666666666668</v>
      </c>
      <c r="U359" s="6">
        <f>7.2*12/44</f>
        <v>1.9636363636363638</v>
      </c>
      <c r="W359" s="3" t="s">
        <v>469</v>
      </c>
      <c r="Y359" s="8" t="s">
        <v>470</v>
      </c>
    </row>
    <row r="360" spans="1:25" ht="30" x14ac:dyDescent="0.25">
      <c r="A360" s="10">
        <v>345</v>
      </c>
      <c r="B360" s="3" t="s">
        <v>287</v>
      </c>
      <c r="C360" s="3" t="s">
        <v>435</v>
      </c>
      <c r="E360" s="3" t="s">
        <v>471</v>
      </c>
      <c r="N360" s="5">
        <f>1389*12/44</f>
        <v>378.81818181818181</v>
      </c>
      <c r="U360" s="6">
        <f>11.6*12/44</f>
        <v>3.1636363636363636</v>
      </c>
      <c r="W360" s="3" t="s">
        <v>472</v>
      </c>
      <c r="Y360" s="8" t="s">
        <v>470</v>
      </c>
    </row>
    <row r="361" spans="1:25" ht="30" x14ac:dyDescent="0.25">
      <c r="A361" s="10">
        <v>346</v>
      </c>
      <c r="B361" s="3" t="s">
        <v>287</v>
      </c>
      <c r="C361" s="3" t="s">
        <v>435</v>
      </c>
      <c r="E361" s="3" t="s">
        <v>473</v>
      </c>
      <c r="N361" s="5">
        <f>870*12/44</f>
        <v>237.27272727272728</v>
      </c>
      <c r="U361" s="6">
        <f>5.1*12/44</f>
        <v>1.3909090909090909</v>
      </c>
      <c r="W361" s="3" t="s">
        <v>472</v>
      </c>
      <c r="Y361" s="8" t="s">
        <v>470</v>
      </c>
    </row>
    <row r="362" spans="1:25" ht="30" x14ac:dyDescent="0.25">
      <c r="A362" s="10">
        <v>347</v>
      </c>
      <c r="B362" s="3" t="s">
        <v>287</v>
      </c>
      <c r="C362" s="3" t="s">
        <v>435</v>
      </c>
      <c r="E362" s="3" t="s">
        <v>474</v>
      </c>
      <c r="N362" s="5">
        <f>1212*12/44</f>
        <v>330.54545454545456</v>
      </c>
      <c r="U362" s="6">
        <f>13.5*12/44</f>
        <v>3.6818181818181817</v>
      </c>
      <c r="W362" s="3" t="s">
        <v>472</v>
      </c>
      <c r="Y362" s="8" t="s">
        <v>470</v>
      </c>
    </row>
    <row r="363" spans="1:25" ht="30" x14ac:dyDescent="0.25">
      <c r="A363" s="10">
        <v>348</v>
      </c>
      <c r="B363" s="3" t="s">
        <v>287</v>
      </c>
      <c r="C363" s="3" t="s">
        <v>435</v>
      </c>
      <c r="E363" s="3" t="s">
        <v>475</v>
      </c>
      <c r="N363" s="5">
        <f>1102*12/44</f>
        <v>300.54545454545456</v>
      </c>
      <c r="U363" s="6">
        <f>9.3*12/44</f>
        <v>2.5363636363636366</v>
      </c>
      <c r="W363" s="3" t="s">
        <v>472</v>
      </c>
      <c r="Y363" s="8" t="s">
        <v>470</v>
      </c>
    </row>
    <row r="364" spans="1:25" ht="30" x14ac:dyDescent="0.25">
      <c r="A364" s="10">
        <v>349</v>
      </c>
      <c r="B364" s="3" t="s">
        <v>287</v>
      </c>
      <c r="C364" s="3" t="s">
        <v>435</v>
      </c>
      <c r="E364" s="3" t="s">
        <v>443</v>
      </c>
      <c r="N364" s="5">
        <v>317.2</v>
      </c>
      <c r="U364" s="6">
        <v>2.12</v>
      </c>
      <c r="W364" s="3" t="s">
        <v>612</v>
      </c>
      <c r="Y364" s="8" t="s">
        <v>613</v>
      </c>
    </row>
    <row r="365" spans="1:25" ht="30" x14ac:dyDescent="0.25">
      <c r="A365" s="10">
        <v>350</v>
      </c>
      <c r="B365" s="3" t="s">
        <v>287</v>
      </c>
      <c r="C365" s="3" t="s">
        <v>435</v>
      </c>
      <c r="E365" s="3" t="s">
        <v>22</v>
      </c>
      <c r="N365" s="5">
        <v>225</v>
      </c>
      <c r="O365" s="4" t="s">
        <v>476</v>
      </c>
      <c r="W365" s="3" t="s">
        <v>612</v>
      </c>
      <c r="Y365" s="8" t="s">
        <v>613</v>
      </c>
    </row>
    <row r="366" spans="1:25" ht="30" x14ac:dyDescent="0.25">
      <c r="A366" s="10">
        <v>351</v>
      </c>
      <c r="B366" s="3" t="s">
        <v>287</v>
      </c>
      <c r="C366" s="3" t="s">
        <v>435</v>
      </c>
      <c r="E366" s="3" t="s">
        <v>28</v>
      </c>
      <c r="N366" s="5">
        <v>327</v>
      </c>
      <c r="O366" s="4" t="s">
        <v>477</v>
      </c>
      <c r="W366" s="3" t="s">
        <v>612</v>
      </c>
      <c r="Y366" s="8" t="s">
        <v>613</v>
      </c>
    </row>
    <row r="367" spans="1:25" ht="30" x14ac:dyDescent="0.25">
      <c r="A367" s="10">
        <v>352</v>
      </c>
      <c r="B367" s="3" t="s">
        <v>287</v>
      </c>
      <c r="C367" s="3" t="s">
        <v>435</v>
      </c>
      <c r="E367" s="3" t="s">
        <v>478</v>
      </c>
      <c r="N367" s="5">
        <v>240</v>
      </c>
      <c r="O367" s="4" t="s">
        <v>479</v>
      </c>
      <c r="W367" s="3" t="s">
        <v>612</v>
      </c>
      <c r="Y367" s="8" t="s">
        <v>613</v>
      </c>
    </row>
    <row r="368" spans="1:25" ht="30" x14ac:dyDescent="0.25">
      <c r="A368" s="10">
        <v>353</v>
      </c>
      <c r="B368" s="3" t="s">
        <v>287</v>
      </c>
      <c r="C368" s="3" t="s">
        <v>435</v>
      </c>
      <c r="E368" s="3" t="s">
        <v>480</v>
      </c>
      <c r="N368" s="5">
        <v>730</v>
      </c>
      <c r="W368" s="3" t="s">
        <v>612</v>
      </c>
      <c r="Y368" s="8" t="s">
        <v>613</v>
      </c>
    </row>
    <row r="369" spans="1:25" ht="30" x14ac:dyDescent="0.25">
      <c r="A369" s="10">
        <v>354</v>
      </c>
      <c r="B369" s="3" t="s">
        <v>287</v>
      </c>
      <c r="C369" s="3" t="s">
        <v>435</v>
      </c>
      <c r="E369" s="3" t="s">
        <v>154</v>
      </c>
      <c r="N369" s="5">
        <v>30</v>
      </c>
      <c r="W369" s="3" t="s">
        <v>612</v>
      </c>
      <c r="Y369" s="8" t="s">
        <v>613</v>
      </c>
    </row>
    <row r="370" spans="1:25" ht="90" x14ac:dyDescent="0.25">
      <c r="A370" s="10">
        <v>355</v>
      </c>
      <c r="B370" s="3" t="s">
        <v>287</v>
      </c>
      <c r="C370" s="3" t="s">
        <v>481</v>
      </c>
      <c r="D370" s="3" t="s">
        <v>482</v>
      </c>
      <c r="E370" s="3" t="s">
        <v>483</v>
      </c>
      <c r="U370" s="6">
        <f>(980*12/44)/100</f>
        <v>2.6727272727272724</v>
      </c>
      <c r="V370" s="3" t="s">
        <v>484</v>
      </c>
      <c r="W370" s="3" t="s">
        <v>485</v>
      </c>
      <c r="Y370" s="8" t="s">
        <v>614</v>
      </c>
    </row>
    <row r="371" spans="1:25" ht="90" x14ac:dyDescent="0.25">
      <c r="A371" s="10">
        <v>356</v>
      </c>
      <c r="B371" s="3" t="s">
        <v>287</v>
      </c>
      <c r="C371" s="3" t="s">
        <v>481</v>
      </c>
      <c r="D371" s="3" t="s">
        <v>482</v>
      </c>
      <c r="E371" s="3" t="s">
        <v>483</v>
      </c>
      <c r="U371" s="6">
        <f>(560*12/44)/100</f>
        <v>1.5272727272727271</v>
      </c>
      <c r="V371" s="3" t="s">
        <v>486</v>
      </c>
      <c r="W371" s="3" t="s">
        <v>485</v>
      </c>
      <c r="Y371" s="8" t="s">
        <v>614</v>
      </c>
    </row>
    <row r="372" spans="1:25" ht="105" x14ac:dyDescent="0.25">
      <c r="A372" s="10">
        <v>357</v>
      </c>
      <c r="B372" s="3" t="s">
        <v>287</v>
      </c>
      <c r="C372" s="3" t="s">
        <v>487</v>
      </c>
      <c r="D372" s="3" t="s">
        <v>488</v>
      </c>
      <c r="E372" s="3" t="s">
        <v>625</v>
      </c>
      <c r="U372" s="6">
        <f>(-180.7*12/44)/100</f>
        <v>-0.49281818181818177</v>
      </c>
      <c r="V372" s="3" t="s">
        <v>489</v>
      </c>
      <c r="W372" s="3" t="s">
        <v>490</v>
      </c>
      <c r="Y372" s="8" t="s">
        <v>615</v>
      </c>
    </row>
    <row r="373" spans="1:25" x14ac:dyDescent="0.25">
      <c r="A373" s="10">
        <v>358</v>
      </c>
      <c r="B373" s="3" t="s">
        <v>287</v>
      </c>
      <c r="C373" s="3" t="s">
        <v>491</v>
      </c>
      <c r="E373" s="3" t="s">
        <v>617</v>
      </c>
      <c r="U373" s="6">
        <f>(55.7*12/44)/100</f>
        <v>0.15190909090909094</v>
      </c>
      <c r="W373" s="3" t="s">
        <v>492</v>
      </c>
      <c r="X373" s="3" t="s">
        <v>493</v>
      </c>
      <c r="Y373" s="8" t="s">
        <v>615</v>
      </c>
    </row>
    <row r="374" spans="1:25" x14ac:dyDescent="0.25">
      <c r="A374" s="10">
        <v>359</v>
      </c>
      <c r="B374" s="3" t="s">
        <v>287</v>
      </c>
      <c r="C374" s="3" t="s">
        <v>494</v>
      </c>
      <c r="E374" s="3" t="s">
        <v>618</v>
      </c>
      <c r="U374" s="6">
        <f>(80*12/44)/100</f>
        <v>0.21818181818181817</v>
      </c>
      <c r="W374" s="3" t="s">
        <v>495</v>
      </c>
      <c r="X374" s="3" t="s">
        <v>493</v>
      </c>
      <c r="Y374" s="8" t="s">
        <v>615</v>
      </c>
    </row>
    <row r="375" spans="1:25" x14ac:dyDescent="0.25">
      <c r="A375" s="10">
        <v>360</v>
      </c>
      <c r="B375" s="3" t="s">
        <v>287</v>
      </c>
      <c r="C375" s="3" t="s">
        <v>496</v>
      </c>
      <c r="E375" s="3" t="s">
        <v>619</v>
      </c>
      <c r="U375" s="6">
        <f>(40*12/44)/100</f>
        <v>0.10909090909090909</v>
      </c>
      <c r="W375" s="3" t="s">
        <v>497</v>
      </c>
      <c r="X375" s="3" t="s">
        <v>493</v>
      </c>
      <c r="Y375" s="8" t="s">
        <v>615</v>
      </c>
    </row>
    <row r="376" spans="1:25" x14ac:dyDescent="0.25">
      <c r="A376" s="10">
        <v>361</v>
      </c>
      <c r="B376" s="3" t="s">
        <v>287</v>
      </c>
      <c r="C376" s="3" t="s">
        <v>498</v>
      </c>
      <c r="E376" s="3" t="s">
        <v>620</v>
      </c>
      <c r="U376" s="6">
        <f>(39.4*12/44)/100</f>
        <v>0.10745454545454544</v>
      </c>
      <c r="W376" s="3" t="s">
        <v>499</v>
      </c>
      <c r="X376" s="3" t="s">
        <v>493</v>
      </c>
      <c r="Y376" s="8" t="s">
        <v>615</v>
      </c>
    </row>
    <row r="377" spans="1:25" ht="30" x14ac:dyDescent="0.25">
      <c r="A377" s="10">
        <v>362</v>
      </c>
      <c r="B377" s="3" t="s">
        <v>287</v>
      </c>
      <c r="C377" s="3" t="s">
        <v>500</v>
      </c>
      <c r="E377" s="3" t="s">
        <v>501</v>
      </c>
      <c r="U377" s="6">
        <f>(329*12/44)/100</f>
        <v>0.89727272727272733</v>
      </c>
      <c r="W377" s="3" t="s">
        <v>502</v>
      </c>
      <c r="X377" s="3" t="s">
        <v>493</v>
      </c>
      <c r="Y377" s="8" t="s">
        <v>615</v>
      </c>
    </row>
    <row r="378" spans="1:25" x14ac:dyDescent="0.25">
      <c r="A378" s="10">
        <v>363</v>
      </c>
      <c r="B378" s="3" t="s">
        <v>287</v>
      </c>
      <c r="C378" s="3" t="s">
        <v>503</v>
      </c>
      <c r="E378" s="3" t="s">
        <v>621</v>
      </c>
      <c r="U378" s="6">
        <f>(129.7*12/44)/100</f>
        <v>0.35372727272727267</v>
      </c>
      <c r="W378" s="3" t="s">
        <v>504</v>
      </c>
      <c r="X378" s="3" t="s">
        <v>493</v>
      </c>
      <c r="Y378" s="8" t="s">
        <v>615</v>
      </c>
    </row>
    <row r="379" spans="1:25" ht="30" x14ac:dyDescent="0.25">
      <c r="A379" s="10">
        <v>364</v>
      </c>
      <c r="B379" s="3" t="s">
        <v>287</v>
      </c>
      <c r="C379" s="3" t="s">
        <v>503</v>
      </c>
      <c r="E379" s="3" t="s">
        <v>622</v>
      </c>
      <c r="U379" s="6">
        <f>(14*12/44)/100</f>
        <v>3.8181818181818185E-2</v>
      </c>
      <c r="W379" s="3" t="s">
        <v>505</v>
      </c>
      <c r="X379" s="3" t="s">
        <v>493</v>
      </c>
      <c r="Y379" s="8" t="s">
        <v>615</v>
      </c>
    </row>
    <row r="380" spans="1:25" ht="30" x14ac:dyDescent="0.25">
      <c r="A380" s="10">
        <v>365</v>
      </c>
      <c r="B380" s="3" t="s">
        <v>287</v>
      </c>
      <c r="C380" s="3" t="s">
        <v>503</v>
      </c>
      <c r="E380" s="3" t="s">
        <v>623</v>
      </c>
      <c r="U380" s="6">
        <f>(117*12/44)/100</f>
        <v>0.31909090909090909</v>
      </c>
      <c r="W380" s="3" t="s">
        <v>506</v>
      </c>
      <c r="X380" s="3" t="s">
        <v>493</v>
      </c>
      <c r="Y380" s="8" t="s">
        <v>615</v>
      </c>
    </row>
    <row r="381" spans="1:25" ht="30" x14ac:dyDescent="0.25">
      <c r="A381" s="10">
        <v>366</v>
      </c>
      <c r="B381" s="3" t="s">
        <v>287</v>
      </c>
      <c r="C381" s="3" t="s">
        <v>507</v>
      </c>
      <c r="E381" s="3" t="s">
        <v>624</v>
      </c>
      <c r="U381" s="6">
        <f>(54*12/44)/100</f>
        <v>0.14727272727272728</v>
      </c>
      <c r="W381" s="3" t="s">
        <v>508</v>
      </c>
      <c r="X381" s="3" t="s">
        <v>493</v>
      </c>
      <c r="Y381" s="8" t="s">
        <v>615</v>
      </c>
    </row>
    <row r="382" spans="1:25" ht="90" x14ac:dyDescent="0.25">
      <c r="A382" s="10">
        <v>367</v>
      </c>
      <c r="B382" s="3" t="s">
        <v>287</v>
      </c>
      <c r="C382" s="3" t="s">
        <v>509</v>
      </c>
      <c r="D382" s="3" t="s">
        <v>510</v>
      </c>
      <c r="E382" s="3" t="s">
        <v>511</v>
      </c>
      <c r="I382" s="4">
        <v>110</v>
      </c>
      <c r="M382" s="4">
        <v>695</v>
      </c>
      <c r="N382" s="5">
        <f>SUM(Table3[[#This Row],[Biomass Above Ground]:[ Soil carbon]])</f>
        <v>805</v>
      </c>
      <c r="O382" s="4" t="s">
        <v>512</v>
      </c>
      <c r="P382" s="3">
        <v>0.37</v>
      </c>
      <c r="T382" s="3">
        <v>0.21</v>
      </c>
      <c r="U382" s="6">
        <f>SUM(Table3[[#This Row],[Sequestration rate Above ground]:[Sequestration rate, Soil]])</f>
        <v>0.57999999999999996</v>
      </c>
      <c r="V382" s="3" t="s">
        <v>513</v>
      </c>
      <c r="W382" s="3" t="s">
        <v>514</v>
      </c>
      <c r="Y382" s="8" t="s">
        <v>616</v>
      </c>
    </row>
    <row r="383" spans="1:25" ht="90" x14ac:dyDescent="0.25">
      <c r="A383" s="10">
        <v>368</v>
      </c>
      <c r="B383" s="3" t="s">
        <v>287</v>
      </c>
      <c r="C383" s="3" t="s">
        <v>509</v>
      </c>
      <c r="D383" s="3" t="s">
        <v>510</v>
      </c>
      <c r="E383" s="3" t="s">
        <v>511</v>
      </c>
      <c r="I383" s="4">
        <v>110</v>
      </c>
      <c r="M383" s="4">
        <f>695-42</f>
        <v>653</v>
      </c>
      <c r="N383" s="5">
        <f>SUM(Table3[[#This Row],[Biomass Above Ground]:[ Soil carbon]])</f>
        <v>763</v>
      </c>
      <c r="O383" s="4" t="s">
        <v>515</v>
      </c>
      <c r="P383" s="3">
        <v>0.37</v>
      </c>
      <c r="T383" s="3">
        <f>-0.14</f>
        <v>-0.14000000000000001</v>
      </c>
      <c r="U383" s="6">
        <f>SUM(Table3[[#This Row],[Sequestration rate Above ground]:[Sequestration rate, Soil]])</f>
        <v>0.22999999999999998</v>
      </c>
      <c r="V383" s="3" t="s">
        <v>516</v>
      </c>
      <c r="W383" s="3" t="s">
        <v>514</v>
      </c>
      <c r="Y383" s="8" t="s">
        <v>616</v>
      </c>
    </row>
    <row r="384" spans="1:25" ht="90" x14ac:dyDescent="0.25">
      <c r="A384" s="10">
        <v>369</v>
      </c>
      <c r="B384" s="3" t="s">
        <v>287</v>
      </c>
      <c r="C384" s="3" t="s">
        <v>509</v>
      </c>
      <c r="D384" s="3" t="s">
        <v>510</v>
      </c>
      <c r="E384" s="3" t="s">
        <v>511</v>
      </c>
      <c r="I384" s="4">
        <v>60</v>
      </c>
      <c r="M384" s="4">
        <v>653</v>
      </c>
      <c r="N384" s="5">
        <f>SUM(Table3[[#This Row],[Biomass Above Ground]:[ Soil carbon]])</f>
        <v>713</v>
      </c>
      <c r="O384" s="4" t="s">
        <v>517</v>
      </c>
      <c r="P384" s="3">
        <f>(6000/300)/100</f>
        <v>0.2</v>
      </c>
      <c r="W384" s="3" t="s">
        <v>514</v>
      </c>
      <c r="Y384" s="8" t="s">
        <v>616</v>
      </c>
    </row>
    <row r="385" spans="1:25" ht="30" x14ac:dyDescent="0.25">
      <c r="A385" s="10">
        <v>370</v>
      </c>
      <c r="B385" s="3" t="s">
        <v>287</v>
      </c>
      <c r="C385" s="3" t="s">
        <v>518</v>
      </c>
      <c r="E385" s="3" t="s">
        <v>626</v>
      </c>
      <c r="U385" s="6">
        <v>0.24099999999999999</v>
      </c>
      <c r="V385" s="3" t="s">
        <v>519</v>
      </c>
      <c r="W385" s="3" t="s">
        <v>520</v>
      </c>
      <c r="Y385" s="8" t="s">
        <v>521</v>
      </c>
    </row>
    <row r="386" spans="1:25" ht="60" x14ac:dyDescent="0.25">
      <c r="A386" s="19">
        <v>397</v>
      </c>
      <c r="B386" s="3" t="s">
        <v>287</v>
      </c>
      <c r="C386" s="3" t="s">
        <v>553</v>
      </c>
      <c r="E386" s="3" t="s">
        <v>181</v>
      </c>
      <c r="U386" s="6">
        <v>1.226</v>
      </c>
      <c r="W386" s="3" t="s">
        <v>554</v>
      </c>
      <c r="X386" s="3" t="s">
        <v>524</v>
      </c>
      <c r="Y386" s="8" t="s">
        <v>525</v>
      </c>
    </row>
    <row r="387" spans="1:25" ht="60" x14ac:dyDescent="0.25">
      <c r="A387" s="19">
        <v>398</v>
      </c>
      <c r="B387" s="3" t="s">
        <v>287</v>
      </c>
      <c r="C387" s="3" t="s">
        <v>555</v>
      </c>
      <c r="E387" s="3" t="s">
        <v>181</v>
      </c>
      <c r="U387" s="6">
        <v>1.1220000000000001</v>
      </c>
      <c r="W387" s="3" t="s">
        <v>554</v>
      </c>
      <c r="X387" s="3" t="s">
        <v>524</v>
      </c>
      <c r="Y387" s="8" t="s">
        <v>525</v>
      </c>
    </row>
    <row r="388" spans="1:25" ht="60" x14ac:dyDescent="0.25">
      <c r="A388" s="19">
        <v>399</v>
      </c>
      <c r="B388" s="3" t="s">
        <v>287</v>
      </c>
      <c r="C388" s="3" t="s">
        <v>556</v>
      </c>
      <c r="E388" s="3" t="s">
        <v>181</v>
      </c>
      <c r="U388" s="6">
        <v>1.0269999999999999</v>
      </c>
      <c r="W388" s="3" t="s">
        <v>554</v>
      </c>
      <c r="X388" s="3" t="s">
        <v>524</v>
      </c>
      <c r="Y388" s="8" t="s">
        <v>525</v>
      </c>
    </row>
    <row r="389" spans="1:25" ht="60" x14ac:dyDescent="0.25">
      <c r="A389" s="19">
        <v>400</v>
      </c>
      <c r="B389" s="3" t="s">
        <v>287</v>
      </c>
      <c r="C389" s="3" t="s">
        <v>557</v>
      </c>
      <c r="D389" s="3" t="s">
        <v>558</v>
      </c>
      <c r="E389" s="3" t="s">
        <v>181</v>
      </c>
      <c r="U389" s="6">
        <v>0.26100000000000001</v>
      </c>
      <c r="W389" s="3" t="s">
        <v>554</v>
      </c>
      <c r="X389" s="3" t="s">
        <v>524</v>
      </c>
      <c r="Y389" s="8" t="s">
        <v>525</v>
      </c>
    </row>
    <row r="390" spans="1:25" ht="60" x14ac:dyDescent="0.25">
      <c r="A390" s="19">
        <v>401</v>
      </c>
      <c r="B390" s="3" t="s">
        <v>287</v>
      </c>
      <c r="C390" s="3" t="s">
        <v>557</v>
      </c>
      <c r="D390" s="3" t="s">
        <v>558</v>
      </c>
      <c r="E390" s="3" t="s">
        <v>181</v>
      </c>
      <c r="J390" s="4"/>
      <c r="U390" s="6">
        <v>0.19</v>
      </c>
      <c r="W390" s="3" t="s">
        <v>537</v>
      </c>
      <c r="X390" s="3" t="s">
        <v>524</v>
      </c>
      <c r="Y390" s="8" t="s">
        <v>525</v>
      </c>
    </row>
    <row r="391" spans="1:25" x14ac:dyDescent="0.25">
      <c r="A391" s="19"/>
      <c r="Y391" s="8"/>
    </row>
    <row r="392" spans="1:25" x14ac:dyDescent="0.25">
      <c r="A392" s="19"/>
      <c r="Y392" s="8"/>
    </row>
    <row r="393" spans="1:25" x14ac:dyDescent="0.25">
      <c r="A393" s="19"/>
      <c r="Y393" s="8"/>
    </row>
    <row r="394" spans="1:25" x14ac:dyDescent="0.25">
      <c r="A394" s="19"/>
      <c r="Y394" s="8"/>
    </row>
    <row r="395" spans="1:25" x14ac:dyDescent="0.25">
      <c r="A395" s="19"/>
      <c r="Y395" s="8"/>
    </row>
    <row r="397" spans="1:25" x14ac:dyDescent="0.25">
      <c r="Y397" s="8"/>
    </row>
    <row r="398" spans="1:25" x14ac:dyDescent="0.25">
      <c r="I398" s="22">
        <f t="shared" ref="I398:M398" si="9">AVERAGE(I2:I397)</f>
        <v>40.739544578485379</v>
      </c>
      <c r="J398" s="22">
        <f t="shared" si="9"/>
        <v>10.323253263157893</v>
      </c>
      <c r="K398" s="22">
        <f t="shared" si="9"/>
        <v>15.529339773932263</v>
      </c>
      <c r="L398" s="22">
        <f t="shared" si="9"/>
        <v>37.314347826086959</v>
      </c>
      <c r="M398" s="22">
        <f t="shared" si="9"/>
        <v>109.09755836051605</v>
      </c>
      <c r="N398" s="5">
        <f>AVERAGE(N2:N397)</f>
        <v>145.70185892085661</v>
      </c>
      <c r="O398" s="4" t="s">
        <v>591</v>
      </c>
      <c r="P398" s="22">
        <f t="shared" ref="P398:T398" si="10">AVERAGE(P2:P397)</f>
        <v>1.3460012121212119</v>
      </c>
      <c r="Q398" s="22">
        <f t="shared" si="10"/>
        <v>0.14500000000000002</v>
      </c>
      <c r="R398" s="22">
        <f t="shared" si="10"/>
        <v>1.8888888888888893E-2</v>
      </c>
      <c r="S398" s="22">
        <f t="shared" si="10"/>
        <v>4.5322222222222228</v>
      </c>
      <c r="T398" s="22">
        <f t="shared" si="10"/>
        <v>0.45493506493506497</v>
      </c>
      <c r="U398" s="6">
        <f>AVERAGE(U2:U397)</f>
        <v>1.8273432306940369</v>
      </c>
      <c r="V398" s="4" t="s">
        <v>591</v>
      </c>
    </row>
    <row r="399" spans="1:25" x14ac:dyDescent="0.25">
      <c r="I399" s="22">
        <f t="shared" ref="I399:M399" si="11">MEDIAN(I2:I397)</f>
        <v>21</v>
      </c>
      <c r="J399" s="22">
        <f t="shared" si="11"/>
        <v>7.5</v>
      </c>
      <c r="K399" s="22">
        <f t="shared" si="11"/>
        <v>4.1900000000000004</v>
      </c>
      <c r="L399" s="22">
        <f t="shared" si="11"/>
        <v>22.43</v>
      </c>
      <c r="M399" s="22">
        <f t="shared" si="11"/>
        <v>83.17</v>
      </c>
      <c r="N399" s="5">
        <f>MEDIAN(N2:N397)</f>
        <v>96</v>
      </c>
      <c r="O399" s="4" t="s">
        <v>592</v>
      </c>
      <c r="P399" s="22">
        <f t="shared" ref="P399:T399" si="12">MEDIAN(P2:P397)</f>
        <v>0.74</v>
      </c>
      <c r="Q399" s="22">
        <f t="shared" si="12"/>
        <v>0.14500000000000002</v>
      </c>
      <c r="R399" s="22">
        <f t="shared" si="12"/>
        <v>0.02</v>
      </c>
      <c r="S399" s="22">
        <f t="shared" si="12"/>
        <v>4.3899999999999997</v>
      </c>
      <c r="T399" s="22">
        <f t="shared" si="12"/>
        <v>0.2</v>
      </c>
      <c r="U399" s="6">
        <f>MEDIAN(U2:U397)</f>
        <v>0.99</v>
      </c>
      <c r="V399" s="4" t="s">
        <v>592</v>
      </c>
    </row>
    <row r="400" spans="1:25" x14ac:dyDescent="0.25">
      <c r="I400" s="22">
        <f t="shared" ref="I400:M400" si="13">MIN(I2:I397)</f>
        <v>0.05</v>
      </c>
      <c r="J400" s="22">
        <f t="shared" si="13"/>
        <v>1.41</v>
      </c>
      <c r="K400" s="22">
        <f t="shared" si="13"/>
        <v>0</v>
      </c>
      <c r="L400" s="22">
        <f t="shared" si="13"/>
        <v>0.83000000000000007</v>
      </c>
      <c r="M400" s="22">
        <f t="shared" si="13"/>
        <v>3</v>
      </c>
      <c r="N400" s="5">
        <f>MIN(N2:N397)</f>
        <v>0.5</v>
      </c>
      <c r="O400" s="4" t="s">
        <v>77</v>
      </c>
      <c r="P400" s="22">
        <f t="shared" ref="P400:T400" si="14">MIN(P2:P397)</f>
        <v>0.01</v>
      </c>
      <c r="Q400" s="22">
        <f t="shared" si="14"/>
        <v>0.13</v>
      </c>
      <c r="R400" s="22">
        <f t="shared" si="14"/>
        <v>0</v>
      </c>
      <c r="S400" s="22">
        <f t="shared" si="14"/>
        <v>0.85</v>
      </c>
      <c r="T400" s="22">
        <f t="shared" si="14"/>
        <v>-0.14000000000000001</v>
      </c>
      <c r="U400" s="6">
        <f>MIN(U2:U397)</f>
        <v>-0.83</v>
      </c>
      <c r="V400" s="4" t="s">
        <v>77</v>
      </c>
    </row>
    <row r="401" spans="1:22" x14ac:dyDescent="0.25">
      <c r="I401" s="22">
        <f t="shared" ref="I401:M401" si="15">MAX(I2:I397)</f>
        <v>218.18181818181819</v>
      </c>
      <c r="J401" s="22">
        <f t="shared" si="15"/>
        <v>47.405898000000001</v>
      </c>
      <c r="K401" s="22">
        <f t="shared" si="15"/>
        <v>280.14366341713702</v>
      </c>
      <c r="L401" s="22">
        <f t="shared" si="15"/>
        <v>500</v>
      </c>
      <c r="M401" s="22">
        <f t="shared" si="15"/>
        <v>695</v>
      </c>
      <c r="N401" s="5">
        <f>MAX(N2:N397)</f>
        <v>827.125</v>
      </c>
      <c r="O401" s="4" t="s">
        <v>78</v>
      </c>
      <c r="P401" s="22">
        <f t="shared" ref="P401:T401" si="16">MAX(P2:P397)</f>
        <v>7.9090909090909092</v>
      </c>
      <c r="Q401" s="22">
        <f t="shared" si="16"/>
        <v>0.16</v>
      </c>
      <c r="R401" s="22">
        <f t="shared" si="16"/>
        <v>0.08</v>
      </c>
      <c r="S401" s="22">
        <f t="shared" si="16"/>
        <v>7.55</v>
      </c>
      <c r="T401" s="22">
        <f t="shared" si="16"/>
        <v>6.3</v>
      </c>
      <c r="U401" s="6">
        <f>MAX(U2:U397)</f>
        <v>9.26</v>
      </c>
      <c r="V401" s="4" t="s">
        <v>78</v>
      </c>
    </row>
    <row r="402" spans="1:22" x14ac:dyDescent="0.25">
      <c r="A402" s="22">
        <f>COUNT(A2:A397)</f>
        <v>389</v>
      </c>
      <c r="B402" s="3" t="s">
        <v>645</v>
      </c>
      <c r="I402" s="22">
        <f t="shared" ref="I402:M402" si="17">COUNT(I2:I397)</f>
        <v>196</v>
      </c>
      <c r="J402" s="22">
        <f t="shared" si="17"/>
        <v>38</v>
      </c>
      <c r="K402" s="22">
        <f t="shared" si="17"/>
        <v>45</v>
      </c>
      <c r="L402" s="22">
        <f t="shared" si="17"/>
        <v>46</v>
      </c>
      <c r="M402" s="22">
        <f t="shared" si="17"/>
        <v>161</v>
      </c>
      <c r="N402" s="5">
        <f>COUNT(N2:N397)</f>
        <v>293</v>
      </c>
      <c r="O402" s="4" t="s">
        <v>593</v>
      </c>
      <c r="P402" s="22">
        <f t="shared" ref="P402:T402" si="18">COUNT(P2:P397)</f>
        <v>75</v>
      </c>
      <c r="Q402" s="22">
        <f t="shared" si="18"/>
        <v>2</v>
      </c>
      <c r="R402" s="22">
        <f t="shared" si="18"/>
        <v>27</v>
      </c>
      <c r="S402" s="22">
        <f t="shared" si="18"/>
        <v>27</v>
      </c>
      <c r="T402" s="22">
        <f t="shared" si="18"/>
        <v>77</v>
      </c>
      <c r="U402" s="6">
        <f>COUNT(U2:U397)</f>
        <v>186</v>
      </c>
      <c r="V402" s="4" t="s">
        <v>593</v>
      </c>
    </row>
    <row r="403" spans="1:22" x14ac:dyDescent="0.25">
      <c r="I403" s="22">
        <f t="shared" ref="I403:M403" si="19">_xlfn.STDEV.S(I2:I397)</f>
        <v>43.74080030277274</v>
      </c>
      <c r="J403" s="22">
        <f t="shared" si="19"/>
        <v>9.2005752690845419</v>
      </c>
      <c r="K403" s="22">
        <f t="shared" si="19"/>
        <v>42.655311853234281</v>
      </c>
      <c r="L403" s="22">
        <f t="shared" si="19"/>
        <v>75.23579253556187</v>
      </c>
      <c r="M403" s="22">
        <f t="shared" si="19"/>
        <v>113.97670195034655</v>
      </c>
      <c r="N403" s="5">
        <f>_xlfn.STDEV.S(N2:N397)</f>
        <v>161.54766875237922</v>
      </c>
      <c r="O403" s="4" t="s">
        <v>594</v>
      </c>
      <c r="P403" s="22">
        <f t="shared" ref="P403:T403" si="20">_xlfn.STDEV.S(P2:P397)</f>
        <v>1.533436467305187</v>
      </c>
      <c r="Q403" s="22">
        <f t="shared" si="20"/>
        <v>2.121320343559624E-2</v>
      </c>
      <c r="R403" s="22">
        <f t="shared" si="20"/>
        <v>1.9480430680228283E-2</v>
      </c>
      <c r="S403" s="22">
        <f t="shared" si="20"/>
        <v>1.3869677311240849</v>
      </c>
      <c r="T403" s="22">
        <f t="shared" si="20"/>
        <v>0.97379294159301499</v>
      </c>
      <c r="U403" s="6">
        <f>_xlfn.STDEV.S(U2:U397)</f>
        <v>2.1252419723282219</v>
      </c>
      <c r="V403" s="4" t="s">
        <v>594</v>
      </c>
    </row>
    <row r="404" spans="1:22" x14ac:dyDescent="0.25">
      <c r="I404" s="3"/>
    </row>
    <row r="406" spans="1:22" x14ac:dyDescent="0.25">
      <c r="U406" s="6">
        <f>AVERAGE(U35:U168)</f>
        <v>3.1725958230958229</v>
      </c>
      <c r="V406" s="4" t="s">
        <v>591</v>
      </c>
    </row>
    <row r="407" spans="1:22" x14ac:dyDescent="0.25">
      <c r="U407" s="6">
        <f>MEDIAN(U35:U168)</f>
        <v>2.9</v>
      </c>
      <c r="V407" s="4" t="s">
        <v>592</v>
      </c>
    </row>
    <row r="408" spans="1:22" x14ac:dyDescent="0.25">
      <c r="U408" s="6">
        <f>MIN(U35:U168)</f>
        <v>0.02</v>
      </c>
      <c r="V408" s="4" t="s">
        <v>77</v>
      </c>
    </row>
    <row r="409" spans="1:22" x14ac:dyDescent="0.25">
      <c r="U409" s="6">
        <f>MAX(U35:U168)</f>
        <v>9.26</v>
      </c>
      <c r="V409" s="4" t="s">
        <v>78</v>
      </c>
    </row>
    <row r="410" spans="1:22" x14ac:dyDescent="0.25">
      <c r="U410" s="6">
        <f>COUNT(U35:U168)</f>
        <v>74</v>
      </c>
      <c r="V410" s="4" t="s">
        <v>593</v>
      </c>
    </row>
    <row r="411" spans="1:22" x14ac:dyDescent="0.25">
      <c r="U411" s="6">
        <f>_xlfn.STDEV.S(U35:U168)</f>
        <v>2.4637677274302918</v>
      </c>
      <c r="V411" s="4" t="s">
        <v>594</v>
      </c>
    </row>
  </sheetData>
  <phoneticPr fontId="2" type="noConversion"/>
  <hyperlinks>
    <hyperlink ref="Y5" r:id="rId1" xr:uid="{0254C507-2796-4D3F-93B6-04B3859C98C4}"/>
    <hyperlink ref="Y182" r:id="rId2" xr:uid="{8770A283-223B-436A-957E-5B35796D984B}"/>
    <hyperlink ref="Y276" r:id="rId3" xr:uid="{C32A52FB-F8B0-479F-BF09-0116C8017556}"/>
    <hyperlink ref="Y320" r:id="rId4" xr:uid="{2A953358-215D-497D-9045-1B5904C6584E}"/>
    <hyperlink ref="Z320" r:id="rId5" xr:uid="{B952C2FA-AF05-4F9B-91EF-8608B6EBB210}"/>
    <hyperlink ref="Y11" r:id="rId6" xr:uid="{44EACB6B-508E-4C72-B6CF-6D42DCFBE7F9}"/>
    <hyperlink ref="Y307" r:id="rId7" xr:uid="{2727F78D-2375-4EF3-8FA0-2FAEA66F48F8}"/>
    <hyperlink ref="Y310" r:id="rId8" xr:uid="{1B8799BF-30C4-45A2-B085-0C3D74E78F5C}"/>
    <hyperlink ref="Y325" r:id="rId9" xr:uid="{54E92B5E-83E1-434E-84B0-EFDF8092E2C5}"/>
    <hyperlink ref="Y2" r:id="rId10" xr:uid="{A516B9B0-CA82-4AFA-A0EE-2E71F02FD7EB}"/>
    <hyperlink ref="Y266" r:id="rId11" xr:uid="{76D3897E-D034-428F-90C2-A901F2631FB5}"/>
    <hyperlink ref="Y269" r:id="rId12" xr:uid="{FD9944DF-02AB-40F7-A6FF-4FAB419F942E}"/>
    <hyperlink ref="Z268" r:id="rId13" display="http://mires-and-peat.net/media/map23/map_23_03.pdf " xr:uid="{8FC62486-31D6-4072-B72D-4945E6C0B781}"/>
    <hyperlink ref="Y274" r:id="rId14" xr:uid="{C8064DAD-A0BB-4ADC-A422-D0D1DCCEEFD3}"/>
    <hyperlink ref="Y275" r:id="rId15" xr:uid="{12E688A7-4F0E-4EF7-A16D-E939759A159E}"/>
    <hyperlink ref="Y286" r:id="rId16" xr:uid="{AB4F1A89-D2C9-4D73-84AE-29F6E40C7377}"/>
    <hyperlink ref="Y288" r:id="rId17" xr:uid="{466D90CC-94AD-4260-8284-692B0D8B5887}"/>
    <hyperlink ref="Y296" r:id="rId18" xr:uid="{EAC90541-E7C6-432D-B838-09E10E0B1064}"/>
    <hyperlink ref="Y318" r:id="rId19" xr:uid="{95658DBE-B10C-4CAD-964E-C0F78D6C24ED}"/>
    <hyperlink ref="Y9" r:id="rId20" xr:uid="{AB287823-A301-4DBC-B1A4-56F110AE2275}"/>
    <hyperlink ref="Y10:Y14" r:id="rId21" display="http://publications.naturalengland.org.uk/publication/1412347" xr:uid="{51EAD4AC-A9DC-44A2-8E3B-3770793B2618}"/>
    <hyperlink ref="Y13:Y16" r:id="rId22" display="http://publications.naturalengland.org.uk/publication/1412347" xr:uid="{86853E2E-3E5E-4DF8-983B-A230F57D60FA}"/>
    <hyperlink ref="Y27:Y33" r:id="rId23" display="https://doi.org/10.1016/S0304-3770(01)00145-0" xr:uid="{E3B7F3C5-38F0-44DE-8ED5-0C54C2823C3D}"/>
    <hyperlink ref="Y103" r:id="rId24" xr:uid="{0BC7C59E-5F08-4A14-A1CB-3637C600F3E6}"/>
    <hyperlink ref="Y104" r:id="rId25" xr:uid="{56520576-B41B-4F7E-A234-E7B7A29A5C6E}"/>
    <hyperlink ref="Y38:Y40" r:id="rId26" display="http://dx.doi.org/10.1657/AAAR0015-002 " xr:uid="{E04B6DD3-E38D-4F60-B18D-D81CA04CBC0C}"/>
    <hyperlink ref="Y135" r:id="rId27" xr:uid="{E64656F2-4895-4262-A46F-FB780C9DE089}"/>
    <hyperlink ref="Y136" r:id="rId28" xr:uid="{D88396EC-8E48-4880-9D1C-A1C8B1685EDD}"/>
    <hyperlink ref="Y137" r:id="rId29" xr:uid="{96F4C5FE-5B6F-429E-BE5A-DDF4331D9279}"/>
    <hyperlink ref="Y142" r:id="rId30" xr:uid="{0286EB14-1C67-4B59-AB35-B70E9FAE92EE}"/>
    <hyperlink ref="Y143" r:id="rId31" xr:uid="{539E67D6-CE7C-4C4B-9B96-1EE003231827}"/>
    <hyperlink ref="Y145" r:id="rId32" xr:uid="{D50DCC43-2A27-4D44-9481-CA80BACD03BE}"/>
    <hyperlink ref="Y146" r:id="rId33" xr:uid="{8E56875F-D589-4F3D-81F1-64A84CF08890}"/>
    <hyperlink ref="Y4" r:id="rId34" xr:uid="{08676BD7-31D6-41FE-98F8-A940CC35E866}"/>
    <hyperlink ref="Y271" r:id="rId35" xr:uid="{91ACCA6C-2FE7-48C9-BA4A-69BE4C714159}"/>
    <hyperlink ref="Y295" r:id="rId36" xr:uid="{CE8B56B8-1CD0-4897-88FB-0A8F46661199}"/>
    <hyperlink ref="Y292" r:id="rId37" xr:uid="{9BCEC476-D011-4092-94C8-C3BDD4235B65}"/>
    <hyperlink ref="Y10" r:id="rId38" xr:uid="{7BD07A45-0A66-496F-ABFF-4F7C1968C231}"/>
    <hyperlink ref="Y324" r:id="rId39" xr:uid="{A05BDCB2-5215-478A-91C4-F2BDD9A3B40B}"/>
    <hyperlink ref="Y38" r:id="rId40" xr:uid="{27155CA1-BDEA-45DD-A707-EB2DB7A15A13}"/>
    <hyperlink ref="Y144" r:id="rId41" display="https://doi-org.ezproxy.library.wur.nl/10.1111/gcb.14475" xr:uid="{DD64CEC5-3694-4863-8107-4410B120EF13}"/>
    <hyperlink ref="Y279" r:id="rId42" xr:uid="{A117DDA4-6DE1-47E0-93F9-BFD308AAEF34}"/>
    <hyperlink ref="Y340" r:id="rId43" xr:uid="{060A4FBD-FBC0-4FC2-98A4-E9655561041F}"/>
    <hyperlink ref="Y130" r:id="rId44" xr:uid="{5971FE37-5A63-4928-A18F-E295ADD10448}"/>
    <hyperlink ref="Y132" r:id="rId45" xr:uid="{FF7DD310-777C-4EC7-BD5A-E59C03EC8208}"/>
    <hyperlink ref="Y282" r:id="rId46" xr:uid="{4D248782-575E-4F9A-8D91-E361EFF7AD99}"/>
    <hyperlink ref="Y287" r:id="rId47" xr:uid="{E7AF4304-205F-4949-AB5E-DF9A34ECEDA7}"/>
    <hyperlink ref="Y131" r:id="rId48" xr:uid="{6EB7B6AC-C4A8-4A3E-80E1-6612327E6E27}"/>
    <hyperlink ref="Y268" r:id="rId49" xr:uid="{6FF1317F-E325-421F-AE8A-107C8FF2D8DC}"/>
    <hyperlink ref="Y359" r:id="rId50" xr:uid="{BE355089-B49E-481F-9DF2-32D0E41FDE37}"/>
    <hyperlink ref="Y317:Y320" r:id="rId51" display="https://www.klimaatbuffers.nl/uploads/news/08112018-blue-carbon-in-nederland-9968b7.1a1d71.pdf" xr:uid="{4AF25EBA-B4B7-46AF-B3C8-900B2ED539B3}"/>
    <hyperlink ref="Y254" r:id="rId52" xr:uid="{580DE302-27C8-419C-BE13-45B857BB5C8A}"/>
    <hyperlink ref="Y255" r:id="rId53" xr:uid="{533F1725-56F6-45F1-8F66-33FF08C798AC}"/>
    <hyperlink ref="Y329:Y330" r:id="rId54" display="https://doi.org/10.1111/j.1469-8137.2007.02231.x" xr:uid="{6F3F650A-6120-40EF-A9A1-8BE2A628B7B8}"/>
    <hyperlink ref="Y260" r:id="rId55" xr:uid="{640D7D6E-1D59-4F29-AF06-E9025C7FECE2}"/>
    <hyperlink ref="Y258" r:id="rId56" xr:uid="{51041EC2-F067-442B-BBB7-4AEC75694E4C}"/>
    <hyperlink ref="Y259" r:id="rId57" xr:uid="{8F92C9CF-86FE-410A-9196-85A816D38611}"/>
    <hyperlink ref="Y134" r:id="rId58" xr:uid="{DD275E96-9254-4E35-87E4-0E39C2B02F77}"/>
    <hyperlink ref="Y138" r:id="rId59" xr:uid="{0381910A-A0C3-42CB-B64F-C1C2CA55AF24}"/>
    <hyperlink ref="Y106" r:id="rId60" xr:uid="{07BB1AAF-251B-43DD-82A2-B3FCC6DB46C8}"/>
    <hyperlink ref="Y75" r:id="rId61" xr:uid="{9DBD47A2-37BF-4E0D-AD7C-A534DC050FA4}"/>
    <hyperlink ref="Y321:Y326" r:id="rId62" display="https://doi-org.ezproxy.library.wur.nl/10.1111/gcb.12904" xr:uid="{86CCA08C-60FF-4FA4-BE08-EB99DD5876A2}"/>
    <hyperlink ref="Y143:Y144" r:id="rId63" display="https://link-springer-com.ezproxy.library.wur.nl/chapter/10.1007/978-94-007-6455-2_3 " xr:uid="{FB2C0362-8025-4D3A-983F-E669334E365D}"/>
    <hyperlink ref="Y127:Y131" r:id="rId64" display="https://doi.org/10.1039/9781847559715-00179" xr:uid="{9DFC41A5-026A-40C2-B51B-82DE6BF0E179}"/>
    <hyperlink ref="Y370" r:id="rId65" xr:uid="{0F6E6F41-A9F3-4763-BBE5-A263BB029DE1}"/>
    <hyperlink ref="Y385" r:id="rId66" xr:uid="{68CC4FAF-BB3D-40C1-92C2-7E3AAAECD458}"/>
    <hyperlink ref="Y160" r:id="rId67" xr:uid="{E0FB4C6F-9A8B-4CB1-9B23-AF56D9B76637}"/>
    <hyperlink ref="Y161" r:id="rId68" xr:uid="{C501D042-8035-47DD-9738-4255019502CB}"/>
    <hyperlink ref="Y162" r:id="rId69" xr:uid="{B3FBD8CF-274A-4016-904D-70DB2C358FA2}"/>
    <hyperlink ref="Y163" r:id="rId70" xr:uid="{C88C4198-83AD-4A8D-B4A8-D6BD830510FF}"/>
    <hyperlink ref="Y164" r:id="rId71" xr:uid="{F42F06C7-912C-4F6C-B7A2-833641853F69}"/>
    <hyperlink ref="Y165" r:id="rId72" xr:uid="{86B5E61A-C21A-4B8B-9A31-15D32DF51FDE}"/>
    <hyperlink ref="Y166" r:id="rId73" xr:uid="{C039EB94-E0C5-4478-B400-310CC9288D8A}"/>
    <hyperlink ref="Y167" r:id="rId74" xr:uid="{A00A338A-ECE8-4956-AAC7-A5D86CD70FDC}"/>
    <hyperlink ref="Y168" r:id="rId75" xr:uid="{1A9756CE-CA36-45AE-94BB-1792574484EE}"/>
    <hyperlink ref="Y169" r:id="rId76" xr:uid="{FFA1EC68-92FA-462C-9849-B84F08E2D7F4}"/>
    <hyperlink ref="Y263" r:id="rId77" xr:uid="{8E186F56-6096-4CEB-B0BD-50A2CC9688CE}"/>
    <hyperlink ref="Y29" r:id="rId78" xr:uid="{4AA39CD6-919C-4F44-ADE9-CCA8EEDAD2BB}"/>
    <hyperlink ref="Y30" r:id="rId79" xr:uid="{9C45683D-3387-49CE-8799-B6E264013529}"/>
    <hyperlink ref="Y31" r:id="rId80" xr:uid="{09E57FCF-08E4-42B9-8D3D-A54D325A6655}"/>
    <hyperlink ref="Y32" r:id="rId81" xr:uid="{1145CA33-9B8F-4952-BCEF-29E994EFD980}"/>
    <hyperlink ref="Y33" r:id="rId82" xr:uid="{0F1C7B77-E742-4201-97FE-3BA79E19E8D6}"/>
    <hyperlink ref="Y34" r:id="rId83" xr:uid="{2D047DA1-343C-4ADB-9710-99C33C1926E5}"/>
    <hyperlink ref="Y35" r:id="rId84" xr:uid="{1D4A0FBF-156C-4060-B69A-4EC0B461FD48}"/>
    <hyperlink ref="Y229" r:id="rId85" xr:uid="{1EFA1E50-0F3C-45F7-B79F-CD196D8980B2}"/>
    <hyperlink ref="Y230" r:id="rId86" xr:uid="{85031840-34FE-4A16-926F-6E3B88BCB94A}"/>
    <hyperlink ref="Y231" r:id="rId87" xr:uid="{7791016B-7CEC-4F71-B632-3F196C9CA96F}"/>
    <hyperlink ref="Y386" r:id="rId88" xr:uid="{4747A7A4-37F1-4BF3-B8B7-6DDF00FCEA60}"/>
    <hyperlink ref="Y387" r:id="rId89" xr:uid="{D532B223-C640-4095-A9FA-CDA2B50BBF31}"/>
    <hyperlink ref="Y388" r:id="rId90" xr:uid="{AAE459B6-0C6C-448B-9D0F-D792BC5E823A}"/>
    <hyperlink ref="Y389" r:id="rId91" xr:uid="{D44A957D-9026-4A98-859D-A22769CAACD2}"/>
    <hyperlink ref="Y390" r:id="rId92" xr:uid="{E50CAEF2-2E0B-45FE-8029-A0E424049C1A}"/>
    <hyperlink ref="Y17" r:id="rId93" xr:uid="{C9B08B0D-9C99-4918-A4E1-81AA041E9656}"/>
    <hyperlink ref="Y264" r:id="rId94" xr:uid="{3B9693D4-8640-4901-A076-4F174F846B22}"/>
    <hyperlink ref="Y283" r:id="rId95" xr:uid="{0068815F-EBE9-450C-A3E8-42FFA79C701D}"/>
    <hyperlink ref="Y323" r:id="rId96" xr:uid="{B228C101-6092-43CC-BAE6-6AAD5570D3EC}"/>
    <hyperlink ref="Y73" r:id="rId97" xr:uid="{6A32A79F-4AFC-447F-BC52-AE0B005F70EE}"/>
    <hyperlink ref="Y129" r:id="rId98" xr:uid="{5E670C79-612A-4128-9678-BA70877D311D}"/>
    <hyperlink ref="Z67" r:id="rId99" xr:uid="{008BBE58-3323-42EE-BE8E-4DA8FF0C9B4A}"/>
    <hyperlink ref="Y308" r:id="rId100" xr:uid="{62F40566-71EA-436E-8343-F34CC0F8EF7C}"/>
    <hyperlink ref="Y309" r:id="rId101" xr:uid="{13785D1A-56D2-446D-995B-F7FB38768D77}"/>
    <hyperlink ref="Y371" r:id="rId102" xr:uid="{25F6AB8A-59AF-4F78-AD72-DBE771948D82}"/>
    <hyperlink ref="Y380" r:id="rId103" xr:uid="{4FD3554F-65BF-41B6-B33B-3D5CD61AD6DD}"/>
    <hyperlink ref="Y372" r:id="rId104" xr:uid="{6B740DE3-D4F4-4ED7-8AF6-FB5D523723D3}"/>
    <hyperlink ref="Z297" r:id="rId105" xr:uid="{8AC61010-7CD8-44CE-988E-B0BF4BA2EA46}"/>
    <hyperlink ref="Y3" r:id="rId106" xr:uid="{193BE0A3-D836-46A6-8FB0-FE4BFBC99BDC}"/>
    <hyperlink ref="Y8" r:id="rId107" xr:uid="{9C5EB96B-9969-4030-A26F-00844CC4DF70}"/>
    <hyperlink ref="Y64" r:id="rId108" xr:uid="{5630A7E2-58BC-4FE4-9509-A5FC337FF75D}"/>
    <hyperlink ref="Y67" r:id="rId109" xr:uid="{8A3B61F8-4AF3-455C-98D6-0E7BC63A176B}"/>
    <hyperlink ref="Y133" r:id="rId110" xr:uid="{D8F7AA7C-C7E0-47EE-BE25-AF0AF9A1742C}"/>
    <hyperlink ref="Y153" r:id="rId111" xr:uid="{F18F5443-0F4D-46D3-BFE3-FA887F580A1B}"/>
    <hyperlink ref="Y178" r:id="rId112" xr:uid="{3C461D46-01BA-4B0E-AA71-27C2EE26793D}"/>
    <hyperlink ref="Y184" r:id="rId113" xr:uid="{C9CC5325-C6F3-479D-861D-9D46ABAFB0AC}"/>
    <hyperlink ref="Y205" r:id="rId114" xr:uid="{87CDFC2B-E676-4E21-82E2-E4C8EF3EA31A}"/>
    <hyperlink ref="Y210" r:id="rId115" xr:uid="{46A2AB42-6760-4EBE-9870-F706D1746CFA}"/>
    <hyperlink ref="Y225" r:id="rId116" xr:uid="{08094F2D-A0A7-4371-8468-C411F7DF86B9}"/>
    <hyperlink ref="Y336" r:id="rId117" xr:uid="{07F74CEB-E370-413E-83F8-B01E227BBD5A}"/>
    <hyperlink ref="Y341" r:id="rId118" xr:uid="{80A79C17-D71B-4FBB-ACA9-3AD291C8B2D8}"/>
    <hyperlink ref="Y18" r:id="rId119" xr:uid="{CCC174D5-1B7A-4A12-B480-3B7FB88390D9}"/>
    <hyperlink ref="Y19" r:id="rId120" xr:uid="{D4929433-68CB-463A-B620-8426BA02F45A}"/>
    <hyperlink ref="Y20" r:id="rId121" xr:uid="{0BB62024-A82E-4155-B4F0-7DD1141B1281}"/>
    <hyperlink ref="Y21" r:id="rId122" xr:uid="{7555FA40-91B8-468D-92F4-312118B159C6}"/>
    <hyperlink ref="Y22" r:id="rId123" xr:uid="{F4D1163F-41D5-42BE-AB0E-AB96639284BB}"/>
    <hyperlink ref="Y23" r:id="rId124" xr:uid="{AF744128-2F6F-419B-8CCF-7F60106AE2DA}"/>
    <hyperlink ref="Y24" r:id="rId125" xr:uid="{AFED088D-DE58-4AD3-B167-BE6CC850074D}"/>
    <hyperlink ref="Y25" r:id="rId126" xr:uid="{BB29990A-DB00-4C1E-947F-8EBF4352F5E7}"/>
    <hyperlink ref="Y26" r:id="rId127" xr:uid="{42E40E50-5F80-429D-9241-0D73B7C45476}"/>
    <hyperlink ref="Y42" r:id="rId128" xr:uid="{22865E18-AEDE-4D14-B5AE-9A66ACAA92B0}"/>
    <hyperlink ref="Y43" r:id="rId129" xr:uid="{9E831FB0-EF7A-4D18-9121-C4FE65C9E75E}"/>
    <hyperlink ref="Y44" r:id="rId130" xr:uid="{98D609DE-440F-4929-B085-F5A947CAE2E9}"/>
    <hyperlink ref="Y45" r:id="rId131" xr:uid="{6E633D97-CED3-4B35-92AE-D2C88DE3C931}"/>
    <hyperlink ref="Y46" r:id="rId132" xr:uid="{01C2E84E-16D5-46A5-AD88-9A122FB4146C}"/>
    <hyperlink ref="Y47" r:id="rId133" xr:uid="{4E355654-2F12-4852-8117-D98503324C3E}"/>
    <hyperlink ref="Y54" r:id="rId134" xr:uid="{5D90B803-647B-4152-829B-D0C27EEFAEF0}"/>
    <hyperlink ref="Y59" r:id="rId135" xr:uid="{7741AB52-F14A-488F-8983-9F355ADF788D}"/>
    <hyperlink ref="Y60" r:id="rId136" xr:uid="{70469FE2-D21E-4B48-B144-4E458720E840}"/>
    <hyperlink ref="Y61" r:id="rId137" xr:uid="{7BF10703-1B45-4E33-BEC9-C14BFFD5D75F}"/>
    <hyperlink ref="Y62" r:id="rId138" xr:uid="{ECB2D813-CAD3-46A3-B9E0-C09C9CD0FA55}"/>
    <hyperlink ref="Y63" r:id="rId139" xr:uid="{D7FABD40-DE53-41B1-9F84-48165F354C84}"/>
    <hyperlink ref="Y159" r:id="rId140" xr:uid="{9A4122FF-48D4-429A-9EFD-44A9580CD7A3}"/>
    <hyperlink ref="Y188" r:id="rId141" xr:uid="{52768B30-420E-4F47-AD08-891F57BEAEDA}"/>
    <hyperlink ref="Y189" r:id="rId142" xr:uid="{B4B41D1F-A672-4247-9CD9-A3C59A1D9CCE}"/>
    <hyperlink ref="Y190" r:id="rId143" xr:uid="{B3BFBB96-9961-4A9C-B09F-BD8076E77771}"/>
    <hyperlink ref="Y191" r:id="rId144" xr:uid="{ED3B646B-1DCA-42ED-9532-1BBCE20A3918}"/>
    <hyperlink ref="Y192" r:id="rId145" xr:uid="{0C4C2D48-9102-4D0C-B889-4B903D586D66}"/>
    <hyperlink ref="Y193" r:id="rId146" xr:uid="{42E0AE91-49B3-4AA7-8369-B55EE66FDBCD}"/>
    <hyperlink ref="Y194" r:id="rId147" xr:uid="{11E1E2E8-8E16-4938-AEA7-178D863490ED}"/>
    <hyperlink ref="Y195" r:id="rId148" xr:uid="{B29E5606-5DDB-477F-B03C-6A54956193F0}"/>
    <hyperlink ref="Y233" r:id="rId149" xr:uid="{772C9BD5-FE96-4842-B2A6-572C07CD90D8}"/>
    <hyperlink ref="Y234" r:id="rId150" xr:uid="{DE8FB93E-D27B-4613-9AFC-6D3C6C9FA20C}"/>
    <hyperlink ref="Y247" r:id="rId151" xr:uid="{DB531E22-0636-4F29-8D28-8B2635AB4224}"/>
    <hyperlink ref="Y250" r:id="rId152" xr:uid="{D2E60DA8-CA53-452C-AE74-430ED2BF3BE8}"/>
    <hyperlink ref="Y251" r:id="rId153" xr:uid="{09C08D95-50F7-4F12-A847-5350E12E98A3}"/>
    <hyperlink ref="Y252" r:id="rId154" xr:uid="{06C81CB5-25D5-43B8-B6C1-9DEF38FBFCC6}"/>
    <hyperlink ref="Y285" r:id="rId155" xr:uid="{74BD65EE-1D6F-4016-BEAF-48CDF11EE89B}"/>
    <hyperlink ref="Y39:Y41" r:id="rId156" display="https://doi.org/10.1007%2F978-1-4020-8433-1" xr:uid="{A2D64870-969E-4776-92AB-F62C7E09FFFC}"/>
    <hyperlink ref="Y55" r:id="rId157" xr:uid="{2E0FE7DE-75DD-47E3-9F1C-E8BFE28B16DB}"/>
    <hyperlink ref="Y267" r:id="rId158" xr:uid="{3F87D976-E55F-411D-8511-6F957B062FED}"/>
  </hyperlinks>
  <pageMargins left="0.7" right="0.7" top="0.75" bottom="0.75" header="0.3" footer="0.3"/>
  <pageSetup paperSize="9" orientation="portrait" r:id="rId159"/>
  <drawing r:id="rId160"/>
  <legacyDrawing r:id="rId161"/>
  <tableParts count="1">
    <tablePart r:id="rId16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1D042-BEF6-4AD2-A612-E5B47501C63E}">
  <dimension ref="A1:C29"/>
  <sheetViews>
    <sheetView topLeftCell="A3" workbookViewId="0">
      <selection activeCell="C29" sqref="C29"/>
    </sheetView>
  </sheetViews>
  <sheetFormatPr defaultRowHeight="15" x14ac:dyDescent="0.25"/>
  <cols>
    <col min="2" max="2" width="20.42578125" style="26" customWidth="1"/>
    <col min="3" max="3" width="165.85546875" style="25" customWidth="1"/>
  </cols>
  <sheetData>
    <row r="1" spans="1:3" ht="30" customHeight="1" x14ac:dyDescent="0.25">
      <c r="C1" s="25" t="s">
        <v>646</v>
      </c>
    </row>
    <row r="2" spans="1:3" ht="45" x14ac:dyDescent="0.25">
      <c r="C2" s="25" t="s">
        <v>647</v>
      </c>
    </row>
    <row r="3" spans="1:3" ht="30" x14ac:dyDescent="0.25">
      <c r="C3" s="25" t="s">
        <v>648</v>
      </c>
    </row>
    <row r="6" spans="1:3" x14ac:dyDescent="0.25">
      <c r="C6" s="25" t="s">
        <v>649</v>
      </c>
    </row>
    <row r="7" spans="1:3" x14ac:dyDescent="0.25">
      <c r="A7" t="s">
        <v>650</v>
      </c>
      <c r="B7" s="26" t="s">
        <v>654</v>
      </c>
      <c r="C7" s="25" t="s">
        <v>655</v>
      </c>
    </row>
    <row r="8" spans="1:3" x14ac:dyDescent="0.25">
      <c r="A8" t="s">
        <v>651</v>
      </c>
      <c r="B8" s="26" t="s">
        <v>0</v>
      </c>
      <c r="C8" s="25" t="s">
        <v>656</v>
      </c>
    </row>
    <row r="9" spans="1:3" x14ac:dyDescent="0.25">
      <c r="A9" t="s">
        <v>652</v>
      </c>
      <c r="B9" s="26" t="s">
        <v>1</v>
      </c>
      <c r="C9" s="25" t="s">
        <v>657</v>
      </c>
    </row>
    <row r="10" spans="1:3" x14ac:dyDescent="0.25">
      <c r="A10" t="s">
        <v>653</v>
      </c>
      <c r="B10" s="26" t="s">
        <v>658</v>
      </c>
      <c r="C10" s="25" t="s">
        <v>660</v>
      </c>
    </row>
    <row r="11" spans="1:3" ht="30" x14ac:dyDescent="0.25">
      <c r="B11" s="27" t="s">
        <v>14</v>
      </c>
      <c r="C11" s="25" t="s">
        <v>661</v>
      </c>
    </row>
    <row r="12" spans="1:3" x14ac:dyDescent="0.25">
      <c r="B12" s="27" t="s">
        <v>2</v>
      </c>
      <c r="C12" s="25" t="s">
        <v>662</v>
      </c>
    </row>
    <row r="13" spans="1:3" ht="30" x14ac:dyDescent="0.25">
      <c r="B13" s="28" t="s">
        <v>4</v>
      </c>
      <c r="C13" s="25" t="s">
        <v>663</v>
      </c>
    </row>
    <row r="14" spans="1:3" ht="30" x14ac:dyDescent="0.25">
      <c r="B14" s="27" t="s">
        <v>5</v>
      </c>
      <c r="C14" s="25" t="s">
        <v>664</v>
      </c>
    </row>
    <row r="15" spans="1:3" x14ac:dyDescent="0.25">
      <c r="B15" s="27" t="s">
        <v>13</v>
      </c>
      <c r="C15" s="25" t="s">
        <v>665</v>
      </c>
    </row>
    <row r="16" spans="1:3" x14ac:dyDescent="0.25">
      <c r="B16" s="27" t="s">
        <v>6</v>
      </c>
      <c r="C16" s="25" t="s">
        <v>666</v>
      </c>
    </row>
    <row r="17" spans="2:3" x14ac:dyDescent="0.25">
      <c r="B17" s="28" t="s">
        <v>16</v>
      </c>
      <c r="C17" s="25" t="s">
        <v>667</v>
      </c>
    </row>
    <row r="18" spans="2:3" ht="30" x14ac:dyDescent="0.25">
      <c r="B18" s="27" t="s">
        <v>642</v>
      </c>
      <c r="C18" s="25" t="s">
        <v>668</v>
      </c>
    </row>
    <row r="19" spans="2:3" ht="30" x14ac:dyDescent="0.25">
      <c r="B19" s="27" t="s">
        <v>670</v>
      </c>
      <c r="C19" s="25" t="s">
        <v>669</v>
      </c>
    </row>
    <row r="20" spans="2:3" ht="30" x14ac:dyDescent="0.25">
      <c r="B20" s="27" t="s">
        <v>7</v>
      </c>
      <c r="C20" s="25" t="s">
        <v>676</v>
      </c>
    </row>
    <row r="21" spans="2:3" ht="30" x14ac:dyDescent="0.25">
      <c r="B21" s="27" t="s">
        <v>8</v>
      </c>
      <c r="C21" s="25" t="s">
        <v>671</v>
      </c>
    </row>
    <row r="22" spans="2:3" ht="30" x14ac:dyDescent="0.25">
      <c r="B22" s="27" t="s">
        <v>9</v>
      </c>
      <c r="C22" s="25" t="s">
        <v>672</v>
      </c>
    </row>
    <row r="23" spans="2:3" ht="30" x14ac:dyDescent="0.25">
      <c r="B23" s="27" t="s">
        <v>10</v>
      </c>
      <c r="C23" s="25" t="s">
        <v>673</v>
      </c>
    </row>
    <row r="24" spans="2:3" ht="30" x14ac:dyDescent="0.25">
      <c r="B24" s="27" t="s">
        <v>11</v>
      </c>
      <c r="C24" s="25" t="s">
        <v>674</v>
      </c>
    </row>
    <row r="25" spans="2:3" ht="45" x14ac:dyDescent="0.25">
      <c r="B25" s="28" t="s">
        <v>641</v>
      </c>
      <c r="C25" s="25" t="s">
        <v>675</v>
      </c>
    </row>
    <row r="26" spans="2:3" ht="30" x14ac:dyDescent="0.25">
      <c r="B26" s="27" t="s">
        <v>677</v>
      </c>
      <c r="C26" s="25" t="s">
        <v>678</v>
      </c>
    </row>
    <row r="27" spans="2:3" x14ac:dyDescent="0.25">
      <c r="B27" s="27" t="s">
        <v>12</v>
      </c>
      <c r="C27" s="25" t="s">
        <v>679</v>
      </c>
    </row>
    <row r="28" spans="2:3" x14ac:dyDescent="0.25">
      <c r="B28" s="27" t="s">
        <v>17</v>
      </c>
      <c r="C28" s="25" t="s">
        <v>680</v>
      </c>
    </row>
    <row r="29" spans="2:3" x14ac:dyDescent="0.25">
      <c r="B29" s="27" t="s">
        <v>18</v>
      </c>
      <c r="C29" s="25" t="s">
        <v>681</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D3A8C-1E09-4405-A628-342F7B8AFE3D}">
  <dimension ref="A1:T12"/>
  <sheetViews>
    <sheetView topLeftCell="J1" workbookViewId="0">
      <selection activeCell="L39" sqref="L39"/>
    </sheetView>
  </sheetViews>
  <sheetFormatPr defaultRowHeight="15" x14ac:dyDescent="0.25"/>
  <cols>
    <col min="1" max="1" width="19" customWidth="1"/>
    <col min="2" max="2" width="17.85546875" hidden="1" customWidth="1"/>
    <col min="3" max="5" width="0" hidden="1" customWidth="1"/>
    <col min="12" max="12" width="9.140625" customWidth="1"/>
    <col min="14" max="14" width="20" customWidth="1"/>
    <col min="15" max="15" width="6" hidden="1" customWidth="1"/>
    <col min="16" max="16" width="8" customWidth="1"/>
  </cols>
  <sheetData>
    <row r="1" spans="1:20" x14ac:dyDescent="0.25">
      <c r="A1" t="s">
        <v>0</v>
      </c>
      <c r="B1" t="s">
        <v>595</v>
      </c>
      <c r="C1" t="s">
        <v>596</v>
      </c>
      <c r="D1" t="s">
        <v>597</v>
      </c>
      <c r="G1" t="s">
        <v>598</v>
      </c>
      <c r="H1" t="s">
        <v>599</v>
      </c>
      <c r="N1" t="s">
        <v>0</v>
      </c>
      <c r="Q1" t="s">
        <v>598</v>
      </c>
      <c r="R1" t="s">
        <v>600</v>
      </c>
    </row>
    <row r="2" spans="1:20" x14ac:dyDescent="0.25">
      <c r="E2" t="s">
        <v>601</v>
      </c>
      <c r="F2" t="s">
        <v>644</v>
      </c>
      <c r="G2" t="s">
        <v>77</v>
      </c>
      <c r="H2" t="s">
        <v>78</v>
      </c>
      <c r="I2" t="s">
        <v>591</v>
      </c>
      <c r="J2" t="s">
        <v>592</v>
      </c>
      <c r="O2" t="s">
        <v>601</v>
      </c>
      <c r="P2" t="s">
        <v>644</v>
      </c>
      <c r="Q2" t="s">
        <v>77</v>
      </c>
      <c r="R2" t="s">
        <v>78</v>
      </c>
      <c r="S2" t="s">
        <v>591</v>
      </c>
      <c r="T2" t="s">
        <v>592</v>
      </c>
    </row>
    <row r="3" spans="1:20" x14ac:dyDescent="0.25">
      <c r="A3" t="s">
        <v>643</v>
      </c>
      <c r="B3" t="s">
        <v>602</v>
      </c>
      <c r="C3" t="s">
        <v>602</v>
      </c>
      <c r="D3" t="s">
        <v>602</v>
      </c>
      <c r="E3" s="1">
        <f>COUNT('C storage'!$N$2:$N$27)</f>
        <v>18</v>
      </c>
      <c r="F3" s="23">
        <f>COUNT('C storage'!$N$2:$N$35)</f>
        <v>24</v>
      </c>
      <c r="G3" s="24">
        <f>MIN('C storage'!$N$2:$N$35)</f>
        <v>7</v>
      </c>
      <c r="H3" s="24">
        <f>MAX('C storage'!$N$2:$N$35)</f>
        <v>266.66666666666669</v>
      </c>
      <c r="I3" s="24">
        <f>AVERAGE('C storage'!$N$2:$N$35)</f>
        <v>107.72245039682541</v>
      </c>
      <c r="J3" s="24">
        <f>MEDIAN('C storage'!$N$2:$N$35)</f>
        <v>99</v>
      </c>
      <c r="N3" t="s">
        <v>643</v>
      </c>
      <c r="O3" s="1">
        <f>COUNT('C storage'!$U$2:$U$27)</f>
        <v>10</v>
      </c>
      <c r="P3" s="23">
        <f>COUNT('C storage'!$U$2:$U$35)</f>
        <v>12</v>
      </c>
      <c r="Q3" s="1">
        <f>MIN('C storage'!$U$2:$U$35)</f>
        <v>-0.83</v>
      </c>
      <c r="R3" s="1">
        <f>MAX('C storage'!$U$2:$U$35)</f>
        <v>4.33</v>
      </c>
      <c r="S3" s="1">
        <f>AVERAGE('C storage'!$U$2:$U$35)</f>
        <v>1.2473484848484848</v>
      </c>
      <c r="T3" s="1">
        <f>MEDIAN('C storage'!$U$2:$U$35)</f>
        <v>0.9</v>
      </c>
    </row>
    <row r="4" spans="1:20" x14ac:dyDescent="0.25">
      <c r="A4" t="s">
        <v>322</v>
      </c>
      <c r="E4" s="1"/>
      <c r="F4" s="23">
        <f>COUNT('C storage'!$N$36:$N$38)</f>
        <v>1</v>
      </c>
      <c r="G4" s="24">
        <f>MIN('C storage'!$N$36:$N$38)</f>
        <v>48</v>
      </c>
      <c r="H4" s="24">
        <f>MAX('C storage'!$N$36:$N$38)</f>
        <v>48</v>
      </c>
      <c r="I4" s="24">
        <f>AVERAGE('C storage'!$N$36:$N$38)</f>
        <v>48</v>
      </c>
      <c r="J4" s="24">
        <f>MEDIAN('C storage'!$N$36:$N$38)</f>
        <v>48</v>
      </c>
      <c r="N4" t="s">
        <v>322</v>
      </c>
      <c r="O4" s="1"/>
      <c r="P4" s="23">
        <f>COUNT('C storage'!$U$36:$U$38)</f>
        <v>2</v>
      </c>
      <c r="Q4" s="1">
        <f>MIN('C storage'!$U$36:$U$38)</f>
        <v>0.57999999999999996</v>
      </c>
      <c r="R4" s="1">
        <f>MAX('C storage'!$U$36:$U$38)</f>
        <v>0.73</v>
      </c>
      <c r="S4" s="1">
        <f>AVERAGE('C storage'!$U$36:$U$38)</f>
        <v>0.65500000000000003</v>
      </c>
      <c r="T4" s="1">
        <f>MEDIAN('C storage'!$U$36:$U$38)</f>
        <v>0.65500000000000003</v>
      </c>
    </row>
    <row r="5" spans="1:20" x14ac:dyDescent="0.25">
      <c r="A5" t="s">
        <v>67</v>
      </c>
      <c r="B5" t="s">
        <v>602</v>
      </c>
      <c r="C5" t="s">
        <v>602</v>
      </c>
      <c r="D5" t="s">
        <v>602</v>
      </c>
      <c r="E5" s="1">
        <f>COUNT('C storage'!$N$28:$N$151)</f>
        <v>102</v>
      </c>
      <c r="F5" s="23">
        <f>COUNT('C storage'!$N$39:$N$169)</f>
        <v>111</v>
      </c>
      <c r="G5" s="24">
        <f>MIN('C storage'!$N$39:$N$169)</f>
        <v>5</v>
      </c>
      <c r="H5" s="24">
        <f>MAX('C storage'!$N$39:$N$169)</f>
        <v>500</v>
      </c>
      <c r="I5" s="24">
        <f>AVERAGE('C storage'!$N$39:$N$169)</f>
        <v>132.9588614980826</v>
      </c>
      <c r="J5" s="24">
        <f>MEDIAN('C storage'!$N$39:$N$169)</f>
        <v>115.44999999999999</v>
      </c>
      <c r="N5" t="s">
        <v>67</v>
      </c>
      <c r="O5" s="1">
        <f>COUNT('C storage'!$U$28:$U$151)</f>
        <v>73</v>
      </c>
      <c r="P5" s="23">
        <f>COUNT('C storage'!$U$39:$U$169)</f>
        <v>73</v>
      </c>
      <c r="Q5" s="1">
        <f>MIN('C storage'!$U$39:$U$169)</f>
        <v>0.02</v>
      </c>
      <c r="R5" s="1">
        <f>MAX('C storage'!$U$39:$U$169)</f>
        <v>9.26</v>
      </c>
      <c r="S5" s="1">
        <f>AVERAGE('C storage'!$U$39:$U$169)</f>
        <v>3.2047957658779573</v>
      </c>
      <c r="T5" s="1">
        <f>MEDIAN('C storage'!$U$39:$U$169)</f>
        <v>3</v>
      </c>
    </row>
    <row r="6" spans="1:20" x14ac:dyDescent="0.25">
      <c r="A6" t="s">
        <v>46</v>
      </c>
      <c r="B6" t="s">
        <v>602</v>
      </c>
      <c r="C6" t="s">
        <v>602</v>
      </c>
      <c r="D6" t="s">
        <v>602</v>
      </c>
      <c r="E6" s="1">
        <f>COUNT('C storage'!$N$152:$N$187)</f>
        <v>31</v>
      </c>
      <c r="F6" s="23">
        <f>COUNT('C storage'!$N$170:$N$205)</f>
        <v>33</v>
      </c>
      <c r="G6" s="24">
        <f>MIN('C storage'!$N$170:$N$205)</f>
        <v>0.5</v>
      </c>
      <c r="H6" s="24">
        <f>MAX('C storage'!$N$170:$N$205)</f>
        <v>438</v>
      </c>
      <c r="I6" s="24">
        <f>AVERAGE('C storage'!$N$170:$N$205)</f>
        <v>61.296969696969697</v>
      </c>
      <c r="J6" s="24">
        <f>MEDIAN('C storage'!$N$170:$N$205)</f>
        <v>5</v>
      </c>
      <c r="N6" t="s">
        <v>46</v>
      </c>
      <c r="O6" s="1">
        <f>COUNT('C storage'!$U$152:$U$187)</f>
        <v>5</v>
      </c>
      <c r="P6" s="23">
        <f>COUNT('C storage'!$U$170:$U$205)</f>
        <v>1</v>
      </c>
      <c r="Q6" s="1">
        <f>MIN('C storage'!$U$170:$U$205)</f>
        <v>0.24199999999999999</v>
      </c>
      <c r="R6" s="1">
        <f>MAX('C storage'!$U$170:$U$205)</f>
        <v>0.24199999999999999</v>
      </c>
      <c r="S6" s="1">
        <f>AVERAGE('C storage'!$U$170:$U$205)</f>
        <v>0.24199999999999999</v>
      </c>
      <c r="T6" s="1">
        <f>MEDIAN('C storage'!$U$170:$U$205)</f>
        <v>0.24199999999999999</v>
      </c>
    </row>
    <row r="7" spans="1:20" x14ac:dyDescent="0.25">
      <c r="A7" t="s">
        <v>234</v>
      </c>
      <c r="B7" t="s">
        <v>602</v>
      </c>
      <c r="C7" t="s">
        <v>602</v>
      </c>
      <c r="D7" t="s">
        <v>602</v>
      </c>
      <c r="E7" s="1">
        <f>COUNT('C storage'!$N$188:$N$210)</f>
        <v>21</v>
      </c>
      <c r="F7" s="23">
        <f>COUNT('C storage'!$N$206:$N$231)</f>
        <v>23</v>
      </c>
      <c r="G7" s="24">
        <f>MIN('C storage'!$N$206:$N$231)</f>
        <v>2</v>
      </c>
      <c r="H7" s="24">
        <f>MAX('C storage'!$N$206:$N$231)</f>
        <v>548.56000000000006</v>
      </c>
      <c r="I7" s="24">
        <f>AVERAGE('C storage'!$N$206:$N$231)</f>
        <v>110.27521739130434</v>
      </c>
      <c r="J7" s="24">
        <f>MEDIAN('C storage'!$N$206:$N$231)</f>
        <v>88</v>
      </c>
      <c r="N7" t="s">
        <v>234</v>
      </c>
      <c r="O7" s="1">
        <f>COUNT('C storage'!$U$178:$U$200)</f>
        <v>1</v>
      </c>
      <c r="P7" s="23">
        <f>COUNT('C storage'!$U$206:$U$231)</f>
        <v>1</v>
      </c>
      <c r="Q7" s="1">
        <f>MIN('C storage'!$U$206:$U$231)</f>
        <v>1.9090909090909092E-2</v>
      </c>
      <c r="R7" s="1">
        <f>MAX('C storage'!$U$206:$U$231)</f>
        <v>1.9090909090909092E-2</v>
      </c>
      <c r="S7" s="1">
        <f>AVERAGE('C storage'!$U$206:$U$231)</f>
        <v>1.9090909090909092E-2</v>
      </c>
      <c r="T7" s="1">
        <f>MEDIAN('C storage'!$U$206:$U$231)</f>
        <v>1.9090909090909092E-2</v>
      </c>
    </row>
    <row r="8" spans="1:20" x14ac:dyDescent="0.25">
      <c r="A8" t="s">
        <v>271</v>
      </c>
      <c r="B8" t="s">
        <v>602</v>
      </c>
      <c r="C8" t="s">
        <v>602</v>
      </c>
      <c r="D8" t="s">
        <v>602</v>
      </c>
      <c r="E8" s="1">
        <f>COUNT('C storage'!$N$214:$N$219)</f>
        <v>6</v>
      </c>
      <c r="F8" s="23">
        <f>COUNT('C storage'!$N$232:$N$246)</f>
        <v>14</v>
      </c>
      <c r="G8" s="24">
        <f>MIN('C storage'!$N$232:$N$246)</f>
        <v>6.91</v>
      </c>
      <c r="H8" s="24">
        <f>MAX('C storage'!$N$232:$N$246)</f>
        <v>190.14</v>
      </c>
      <c r="I8" s="24">
        <f>AVERAGE('C storage'!$N$232:$N$246)</f>
        <v>33.457499999999996</v>
      </c>
      <c r="J8" s="24">
        <f>MEDIAN('C storage'!$N$232:$N$246)</f>
        <v>11.95</v>
      </c>
      <c r="N8" t="s">
        <v>271</v>
      </c>
      <c r="O8" s="1">
        <f>COUNT('C storage'!$U$214:$U$219)</f>
        <v>0</v>
      </c>
      <c r="P8" s="23">
        <f>COUNT('C storage'!$U$232:$U$246)</f>
        <v>5</v>
      </c>
      <c r="Q8" s="1">
        <f>MIN('C storage'!$U$232:$U$246)</f>
        <v>-0.73</v>
      </c>
      <c r="R8" s="1">
        <f>MAX('C storage'!$U$232:$U$246)</f>
        <v>1.26</v>
      </c>
      <c r="S8" s="1">
        <f>AVERAGE('C storage'!$U$232:$U$246)</f>
        <v>0.14799999999999999</v>
      </c>
      <c r="T8" s="1">
        <f>MEDIAN('C storage'!$U$232:$U$246)</f>
        <v>-0.02</v>
      </c>
    </row>
    <row r="9" spans="1:20" x14ac:dyDescent="0.25">
      <c r="A9" t="s">
        <v>639</v>
      </c>
      <c r="B9" t="s">
        <v>602</v>
      </c>
      <c r="C9" t="s">
        <v>602</v>
      </c>
      <c r="D9" t="s">
        <v>602</v>
      </c>
      <c r="E9" s="1">
        <f>COUNT('C storage'!$N$211)</f>
        <v>1</v>
      </c>
      <c r="F9" s="23">
        <f>COUNT('C storage'!$N$247:$N$249)</f>
        <v>3</v>
      </c>
      <c r="G9" s="24">
        <f>MIN('C storage'!$N$247:$N$249)</f>
        <v>20.55</v>
      </c>
      <c r="H9" s="24">
        <f>MAX('C storage'!$N$247:$N$249)</f>
        <v>164.5</v>
      </c>
      <c r="I9" s="24">
        <f>AVERAGE('C storage'!$N$247:$N$249)</f>
        <v>69.683333333333337</v>
      </c>
      <c r="J9" s="24">
        <f>MEDIAN('C storage'!$N$247:$N$249)</f>
        <v>24</v>
      </c>
      <c r="N9" t="s">
        <v>639</v>
      </c>
      <c r="O9" s="1">
        <f>COUNT('C storage'!$U$211)</f>
        <v>0</v>
      </c>
      <c r="P9" s="23">
        <f>COUNT('C storage'!$U$247:$U$249)</f>
        <v>2</v>
      </c>
      <c r="Q9" s="1">
        <f>MIN('C storage'!$U$247:$U$249)</f>
        <v>0</v>
      </c>
      <c r="R9" s="1">
        <f>MAX('C storage'!$U$247:$U$249)</f>
        <v>0.04</v>
      </c>
      <c r="S9" s="1">
        <f>AVERAGE('C storage'!$U$247:$U$249)</f>
        <v>0.02</v>
      </c>
      <c r="T9" s="1">
        <f>MEDIAN('C storage'!$U$247:$U$249)</f>
        <v>0.02</v>
      </c>
    </row>
    <row r="10" spans="1:20" x14ac:dyDescent="0.25">
      <c r="A10" t="s">
        <v>276</v>
      </c>
      <c r="B10" t="s">
        <v>602</v>
      </c>
      <c r="C10" t="s">
        <v>602</v>
      </c>
      <c r="D10" t="s">
        <v>602</v>
      </c>
      <c r="E10" s="1">
        <f>COUNT('C storage'!$N$222:$N$226)</f>
        <v>5</v>
      </c>
      <c r="F10" s="23">
        <f>COUNT('C storage'!$N$250:$N$263)</f>
        <v>12</v>
      </c>
      <c r="G10" s="24">
        <f>MIN('C storage'!$N$250:$N$263)</f>
        <v>1.45</v>
      </c>
      <c r="H10" s="24">
        <f>MAX('C storage'!$N$250:$N$263)</f>
        <v>711</v>
      </c>
      <c r="I10" s="24">
        <f>AVERAGE('C storage'!$N$250:$N$263)</f>
        <v>101.15066666666667</v>
      </c>
      <c r="J10" s="24">
        <f>MEDIAN('C storage'!$N$250:$N$263)</f>
        <v>23.164999999999999</v>
      </c>
      <c r="N10" t="s">
        <v>276</v>
      </c>
      <c r="O10" s="1">
        <f>COUNT('C storage'!$U$222:$U$226)</f>
        <v>0</v>
      </c>
      <c r="P10" s="23">
        <f>COUNT('C storage'!$U$250:$U$263)</f>
        <v>5</v>
      </c>
      <c r="Q10" s="1">
        <f>MIN('C storage'!$U$250:$U$263)</f>
        <v>0.1</v>
      </c>
      <c r="R10" s="1">
        <f>MAX('C storage'!$U$250:$U$263)</f>
        <v>1.3699999999999999</v>
      </c>
      <c r="S10" s="1">
        <f>AVERAGE('C storage'!$U$250:$U$263)</f>
        <v>0.60199999999999998</v>
      </c>
      <c r="T10" s="1">
        <f>MEDIAN('C storage'!$U$250:$U$263)</f>
        <v>0.28999999999999998</v>
      </c>
    </row>
    <row r="11" spans="1:20" x14ac:dyDescent="0.25">
      <c r="A11" t="s">
        <v>287</v>
      </c>
      <c r="B11" t="s">
        <v>602</v>
      </c>
      <c r="C11" t="s">
        <v>602</v>
      </c>
      <c r="D11" t="s">
        <v>602</v>
      </c>
      <c r="E11" s="1">
        <f>COUNT('C storage'!$N$227:$N$352)</f>
        <v>86</v>
      </c>
      <c r="F11" s="23">
        <f>COUNT('C storage'!$N$264:$N$390)</f>
        <v>72</v>
      </c>
      <c r="G11" s="24">
        <f>MIN('C storage'!$N$264:$N$390)</f>
        <v>0.9</v>
      </c>
      <c r="H11" s="24">
        <f>MAX('C storage'!$N$264:$N$390)</f>
        <v>827.125</v>
      </c>
      <c r="I11" s="24">
        <f>AVERAGE('C storage'!$N$264:$N$390)</f>
        <v>261.78443372222222</v>
      </c>
      <c r="J11" s="24">
        <f>MEDIAN('C storage'!$N$264:$N$390)</f>
        <v>247.1875</v>
      </c>
      <c r="N11" t="s">
        <v>287</v>
      </c>
      <c r="O11" s="1">
        <f>COUNT('C storage'!$U$227:$U$352)</f>
        <v>67</v>
      </c>
      <c r="P11" s="23">
        <f>COUNT('C storage'!$U$264:$U$390)</f>
        <v>85</v>
      </c>
      <c r="Q11" s="1">
        <f>MIN('C storage'!$U$264:$U$390)</f>
        <v>-0.49281818181818177</v>
      </c>
      <c r="R11" s="1">
        <f>MAX('C storage'!$U$264:$U$390)</f>
        <v>6.5</v>
      </c>
      <c r="S11" s="1">
        <f>AVERAGE('C storage'!$U$264:$U$390)</f>
        <v>1.0071350267379675</v>
      </c>
      <c r="T11" s="1">
        <f>MEDIAN('C storage'!$U$264:$U$390)</f>
        <v>0.35372727272727267</v>
      </c>
    </row>
    <row r="12" spans="1:20" x14ac:dyDescent="0.25">
      <c r="A12" t="s">
        <v>603</v>
      </c>
      <c r="B12" t="s">
        <v>602</v>
      </c>
      <c r="C12" t="s">
        <v>602</v>
      </c>
      <c r="D12" t="s">
        <v>602</v>
      </c>
      <c r="E12" s="1">
        <f>COUNT('C storage'!$N$2:$N$352)</f>
        <v>273</v>
      </c>
      <c r="F12" s="23">
        <f>COUNT('C storage'!$N$2:$N$390)</f>
        <v>293</v>
      </c>
      <c r="G12" s="24">
        <f>MIN('C storage'!$N$2:$N$390)</f>
        <v>0.5</v>
      </c>
      <c r="H12" s="24">
        <f>MAX('C storage'!$N$2:$N$390)</f>
        <v>827.125</v>
      </c>
      <c r="I12" s="24">
        <f>AVERAGE('C storage'!$N$2:$N$390)</f>
        <v>145.70185892085661</v>
      </c>
      <c r="J12" s="24">
        <f>MEDIAN('C storage'!$N$2:$N$390)</f>
        <v>96</v>
      </c>
      <c r="N12" t="s">
        <v>603</v>
      </c>
      <c r="O12" s="1">
        <f>COUNT('C storage'!$U$2:$U$352)</f>
        <v>156</v>
      </c>
      <c r="P12" s="23">
        <f>COUNT('C storage'!$U$2:$U$390)</f>
        <v>186</v>
      </c>
      <c r="Q12" s="1">
        <f>MIN('C storage'!$U$2:$U$390)</f>
        <v>-0.83</v>
      </c>
      <c r="R12" s="1">
        <f>MAX('C storage'!$U$2:$U$390)</f>
        <v>9.26</v>
      </c>
      <c r="S12" s="1">
        <f>AVERAGE('C storage'!$U$2:$U$390)</f>
        <v>1.8273432306940369</v>
      </c>
      <c r="T12" s="1">
        <f>MEDIAN('C storage'!$U$2:$U$390)</f>
        <v>0.99</v>
      </c>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85CC040F155084091784C8604CAF6BB" ma:contentTypeVersion="4" ma:contentTypeDescription="Een nieuw document maken." ma:contentTypeScope="" ma:versionID="b42be6669b26c2cab275d428d8e90a74">
  <xsd:schema xmlns:xsd="http://www.w3.org/2001/XMLSchema" xmlns:xs="http://www.w3.org/2001/XMLSchema" xmlns:p="http://schemas.microsoft.com/office/2006/metadata/properties" xmlns:ns2="674c1a69-d975-4047-aaac-6590dabef2aa" targetNamespace="http://schemas.microsoft.com/office/2006/metadata/properties" ma:root="true" ma:fieldsID="5cd0bf9c64d46676634595382a5210eb" ns2:_="">
    <xsd:import namespace="674c1a69-d975-4047-aaac-6590dabef2a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4c1a69-d975-4047-aaac-6590dabef2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B g D A A B Q S w M E F A A C A A g A A Y A 3 U W s E F g 2 o A A A A + A A A A B I A H A B D b 2 5 m a W c v U G F j a 2 F n Z S 5 4 b W w g o h g A K K A U A A A A A A A A A A A A A A A A A A A A A A A A A A A A h Y 9 B D o I w F E S v Q r q n L R X U k E 9 Z u A V j Y m L c N l C h E Y q h x X I 3 F x 7 J K 0 i i q D u X M 3 m T v H n c 7 p C O b e N d Z W 9 U p x M U Y I o 8 q Y u u V L p K 0 G B P / h q l H H a i O I t K e h O s T T w a l a D a 2 k t M i H M O u w X u + o o w S g N y z L N 9 U c t W + E o b K 3 Q h 0 W d V / l 8 h D o e X D G d 4 x X A U R U s c h g G Q u Y Z c 6 S / C J m N M g f y U s B k a O / S S 6 8 b f Z k D m C O T 9 g j 8 B U E s D B B Q A A g A I A A G A N 1 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B g D d R K I p H u A 4 A A A A R A A A A E w A c A E Z v c m 1 1 b G F z L 1 N l Y 3 R p b 2 4 x L m 0 g o h g A K K A U A A A A A A A A A A A A A A A A A A A A A A A A A A A A K 0 5 N L s n M z 1 M I h t C G 1 g B Q S w E C L Q A U A A I A C A A B g D d R a w Q W D a g A A A D 4 A A A A E g A A A A A A A A A A A A A A A A A A A A A A Q 2 9 u Z m l n L 1 B h Y 2 t h Z 2 U u e G 1 s U E s B A i 0 A F A A C A A g A A Y A 3 U Q / K 6 a u k A A A A 6 Q A A A B M A A A A A A A A A A A A A A A A A 9 A A A A F t D b 2 5 0 Z W 5 0 X 1 R 5 c G V z X S 5 4 b W x Q S w E C L Q A U A A I A C A A B g D d 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Z e M B 4 c R u 4 U 6 5 V K g T 2 6 n 9 M Q A A A A A C A A A A A A A D Z g A A w A A A A B A A A A A Y V 4 g r p U T T r C x b 5 E + Y 8 l c P A A A A A A S A A A C g A A A A E A A A A M 4 r q g B R / Q 4 N a z 0 2 B 9 z 9 T d V Q A A A A 8 J A q L A 8 v N R m A F T 7 f d 5 I 1 3 Y M p m m t P 4 O j l x X K w j m m B d 4 A T h z 8 + H T 7 v d s C c J z Q E 7 S C U 2 l a f 8 s 1 h k y L m g y P L J T Z P E l s r U R P q 2 d + w F 3 B q V / T m S f 8 U A A A A 1 P I 4 i Y y N u 7 Z I Z f O u x v t y + P c 1 R 9 M = < / D a t a M a s h u p > 
</file>

<file path=customXml/itemProps1.xml><?xml version="1.0" encoding="utf-8"?>
<ds:datastoreItem xmlns:ds="http://schemas.openxmlformats.org/officeDocument/2006/customXml" ds:itemID="{BFAB6332-A39E-4F77-9D5C-A8E7BD892369}"/>
</file>

<file path=customXml/itemProps2.xml><?xml version="1.0" encoding="utf-8"?>
<ds:datastoreItem xmlns:ds="http://schemas.openxmlformats.org/officeDocument/2006/customXml" ds:itemID="{29004147-8DE1-4373-9C29-7E34187BF487}">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674c1a69-d975-4047-aaac-6590dabef2aa"/>
    <ds:schemaRef ds:uri="http://www.w3.org/XML/1998/namespace"/>
  </ds:schemaRefs>
</ds:datastoreItem>
</file>

<file path=customXml/itemProps3.xml><?xml version="1.0" encoding="utf-8"?>
<ds:datastoreItem xmlns:ds="http://schemas.openxmlformats.org/officeDocument/2006/customXml" ds:itemID="{3A04F0A8-AA26-4BF9-AFF4-B19CB924EAB8}">
  <ds:schemaRefs>
    <ds:schemaRef ds:uri="http://schemas.microsoft.com/sharepoint/v3/contenttype/forms"/>
  </ds:schemaRefs>
</ds:datastoreItem>
</file>

<file path=customXml/itemProps4.xml><?xml version="1.0" encoding="utf-8"?>
<ds:datastoreItem xmlns:ds="http://schemas.openxmlformats.org/officeDocument/2006/customXml" ds:itemID="{4D9DA6DD-F2D6-4EFC-8785-CC849EF9BDF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 storage</vt:lpstr>
      <vt:lpstr>Readme</vt:lpstr>
      <vt:lpstr>ranges</vt:lpstr>
    </vt:vector>
  </TitlesOfParts>
  <Manager/>
  <Company>Wageningen University and Research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Hendriks, Kees</dc:creator>
  <cp:keywords/>
  <dc:description/>
  <cp:lastModifiedBy>Hendriks, Kees</cp:lastModifiedBy>
  <cp:revision/>
  <dcterms:created xsi:type="dcterms:W3CDTF">2020-09-09T08:09:29Z</dcterms:created>
  <dcterms:modified xsi:type="dcterms:W3CDTF">2020-11-28T11:33:11Z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0x010100C85CC040F155084091784C8604CAF6BB</vt:lpwstr>
  </property>
</Properties>
</file>